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AK22\Desktop\thực phẩm thầy quân\"/>
    </mc:Choice>
  </mc:AlternateContent>
  <xr:revisionPtr revIDLastSave="0" documentId="13_ncr:1_{2B605016-AAC4-4459-9E59-5E32C4153E4F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 thuc pham T 04 2025 " sheetId="16" r:id="rId1"/>
    <sheet name="Dat thuc pham T 02 2025 (3)" sheetId="17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6" l="1"/>
  <c r="C50" i="16"/>
  <c r="H44" i="16"/>
  <c r="H22" i="16"/>
  <c r="I22" i="16"/>
  <c r="H50" i="16"/>
  <c r="H42" i="16"/>
  <c r="I44" i="16"/>
  <c r="H33" i="16"/>
  <c r="I33" i="16"/>
  <c r="I27" i="16"/>
  <c r="H32" i="16"/>
  <c r="H31" i="16"/>
  <c r="H30" i="16"/>
  <c r="H29" i="16"/>
  <c r="H28" i="16"/>
  <c r="H27" i="16"/>
  <c r="C27" i="16"/>
  <c r="H26" i="16"/>
  <c r="C26" i="16"/>
  <c r="H25" i="16"/>
  <c r="C25" i="16"/>
  <c r="H24" i="16"/>
  <c r="C24" i="16"/>
  <c r="H43" i="16"/>
  <c r="H41" i="16"/>
  <c r="H40" i="16"/>
  <c r="H39" i="16"/>
  <c r="C39" i="16"/>
  <c r="H38" i="16"/>
  <c r="C38" i="16"/>
  <c r="H37" i="16"/>
  <c r="C37" i="16"/>
  <c r="H36" i="16"/>
  <c r="C36" i="16"/>
  <c r="H35" i="16"/>
  <c r="C35" i="16"/>
  <c r="H20" i="16"/>
  <c r="H21" i="16"/>
  <c r="H19" i="16"/>
  <c r="H18" i="16"/>
  <c r="H17" i="16"/>
  <c r="H16" i="16"/>
  <c r="C16" i="16"/>
  <c r="H15" i="16"/>
  <c r="C15" i="16"/>
  <c r="H14" i="16"/>
  <c r="C14" i="16"/>
  <c r="H13" i="16"/>
  <c r="C13" i="16"/>
  <c r="Q18" i="16"/>
  <c r="Q17" i="16"/>
  <c r="Q16" i="16"/>
  <c r="Q15" i="16"/>
  <c r="Q14" i="16"/>
  <c r="Q13" i="16"/>
  <c r="Q12" i="16"/>
  <c r="L12" i="16"/>
  <c r="Q11" i="16"/>
  <c r="L11" i="16"/>
  <c r="Q10" i="16"/>
  <c r="L10" i="16"/>
  <c r="Q9" i="16"/>
  <c r="L9" i="16"/>
  <c r="H11" i="16"/>
  <c r="I9" i="16"/>
  <c r="I5" i="16"/>
  <c r="I56" i="16"/>
  <c r="H54" i="16"/>
  <c r="H53" i="16"/>
  <c r="H52" i="16"/>
  <c r="H51" i="16"/>
  <c r="C51" i="16"/>
  <c r="H49" i="16"/>
  <c r="C49" i="16"/>
  <c r="H48" i="16"/>
  <c r="C48" i="16"/>
  <c r="H47" i="16"/>
  <c r="C47" i="16"/>
  <c r="H46" i="16"/>
  <c r="C46" i="16"/>
  <c r="I15" i="16"/>
  <c r="I13" i="16"/>
  <c r="H10" i="16"/>
  <c r="H9" i="16"/>
  <c r="H8" i="16"/>
  <c r="H7" i="16"/>
  <c r="C7" i="16"/>
  <c r="H6" i="16"/>
  <c r="C6" i="16"/>
  <c r="H5" i="16"/>
  <c r="C5" i="16"/>
  <c r="I4" i="16"/>
  <c r="H4" i="16"/>
  <c r="C4" i="16"/>
  <c r="I2" i="16"/>
  <c r="H106" i="16"/>
  <c r="I107" i="16"/>
  <c r="H96" i="16"/>
  <c r="I91" i="16"/>
  <c r="H90" i="16"/>
  <c r="H91" i="16"/>
  <c r="H92" i="16"/>
  <c r="H93" i="16"/>
  <c r="H94" i="16"/>
  <c r="H95" i="16"/>
  <c r="H89" i="16"/>
  <c r="H88" i="16"/>
  <c r="H105" i="16"/>
  <c r="H104" i="16"/>
  <c r="H103" i="16"/>
  <c r="H102" i="16"/>
  <c r="C102" i="16"/>
  <c r="H101" i="16"/>
  <c r="C101" i="16"/>
  <c r="H100" i="16"/>
  <c r="C100" i="16"/>
  <c r="H99" i="16"/>
  <c r="C99" i="16"/>
  <c r="H98" i="16"/>
  <c r="C98" i="16"/>
  <c r="C91" i="16"/>
  <c r="C90" i="16"/>
  <c r="C89" i="16"/>
  <c r="C88" i="16"/>
  <c r="H86" i="16"/>
  <c r="I85" i="16"/>
  <c r="H85" i="16"/>
  <c r="H84" i="16"/>
  <c r="H83" i="16"/>
  <c r="H82" i="16"/>
  <c r="H81" i="16"/>
  <c r="H80" i="16"/>
  <c r="C80" i="16"/>
  <c r="I79" i="16"/>
  <c r="H79" i="16"/>
  <c r="C79" i="16"/>
  <c r="H78" i="16"/>
  <c r="C78" i="16"/>
  <c r="I77" i="16"/>
  <c r="H77" i="16"/>
  <c r="C77" i="16"/>
  <c r="H75" i="16"/>
  <c r="H74" i="16"/>
  <c r="H73" i="16"/>
  <c r="H72" i="16"/>
  <c r="H71" i="16"/>
  <c r="C71" i="16"/>
  <c r="H70" i="16"/>
  <c r="C70" i="16"/>
  <c r="I69" i="16"/>
  <c r="H69" i="16"/>
  <c r="C69" i="16"/>
  <c r="I68" i="16"/>
  <c r="H68" i="16"/>
  <c r="C68" i="16"/>
  <c r="I66" i="16"/>
  <c r="H164" i="16"/>
  <c r="H156" i="16"/>
  <c r="I165" i="16"/>
  <c r="H158" i="16"/>
  <c r="C158" i="16"/>
  <c r="H154" i="16"/>
  <c r="I149" i="16"/>
  <c r="C149" i="16"/>
  <c r="C150" i="16"/>
  <c r="H133" i="16"/>
  <c r="H150" i="16"/>
  <c r="H23" i="16" l="1"/>
  <c r="I23" i="16" s="1"/>
  <c r="H45" i="16"/>
  <c r="I45" i="16" s="1"/>
  <c r="H34" i="16"/>
  <c r="I34" i="16" s="1"/>
  <c r="H12" i="16"/>
  <c r="I12" i="16" s="1"/>
  <c r="H76" i="16"/>
  <c r="I76" i="16" s="1"/>
  <c r="H56" i="16"/>
  <c r="H97" i="16"/>
  <c r="I94" i="16" s="1"/>
  <c r="H107" i="16"/>
  <c r="H87" i="16"/>
  <c r="I87" i="16" s="1"/>
  <c r="H144" i="16"/>
  <c r="I143" i="16"/>
  <c r="I137" i="16"/>
  <c r="H141" i="16"/>
  <c r="H135" i="16"/>
  <c r="I30" i="16" l="1"/>
  <c r="I71" i="16"/>
  <c r="I57" i="16"/>
  <c r="I108" i="16"/>
  <c r="I97" i="16"/>
  <c r="H131" i="16"/>
  <c r="I127" i="16" l="1"/>
  <c r="H163" i="16" l="1"/>
  <c r="H162" i="16"/>
  <c r="H161" i="16"/>
  <c r="H160" i="16"/>
  <c r="H159" i="16"/>
  <c r="C159" i="16"/>
  <c r="H157" i="16"/>
  <c r="C157" i="16"/>
  <c r="C156" i="16"/>
  <c r="H151" i="16"/>
  <c r="H153" i="16"/>
  <c r="H152" i="16"/>
  <c r="H149" i="16"/>
  <c r="H148" i="16"/>
  <c r="C148" i="16"/>
  <c r="H147" i="16"/>
  <c r="C147" i="16"/>
  <c r="H146" i="16"/>
  <c r="C146" i="16"/>
  <c r="H143" i="16"/>
  <c r="H142" i="16"/>
  <c r="H140" i="16"/>
  <c r="H139" i="16"/>
  <c r="H138" i="16"/>
  <c r="C138" i="16"/>
  <c r="H137" i="16"/>
  <c r="C137" i="16"/>
  <c r="H136" i="16"/>
  <c r="C136" i="16"/>
  <c r="I135" i="16"/>
  <c r="C135" i="16"/>
  <c r="H132" i="16"/>
  <c r="H130" i="16"/>
  <c r="H129" i="16"/>
  <c r="C129" i="16"/>
  <c r="H128" i="16"/>
  <c r="C128" i="16"/>
  <c r="H127" i="16"/>
  <c r="C127" i="16"/>
  <c r="H126" i="16"/>
  <c r="C126" i="16"/>
  <c r="I124" i="16"/>
  <c r="I207" i="16"/>
  <c r="H236" i="16"/>
  <c r="H216" i="16"/>
  <c r="H226" i="16"/>
  <c r="I215" i="16"/>
  <c r="H205" i="16"/>
  <c r="H235" i="16"/>
  <c r="H234" i="16"/>
  <c r="H233" i="16"/>
  <c r="H232" i="16"/>
  <c r="C232" i="16"/>
  <c r="H231" i="16"/>
  <c r="C231" i="16"/>
  <c r="H230" i="16"/>
  <c r="C230" i="16"/>
  <c r="H229" i="16"/>
  <c r="C229" i="16"/>
  <c r="H228" i="16"/>
  <c r="C228" i="16"/>
  <c r="I221" i="16"/>
  <c r="I199" i="16"/>
  <c r="H145" i="16" l="1"/>
  <c r="I145" i="16" s="1"/>
  <c r="H165" i="16"/>
  <c r="H134" i="16"/>
  <c r="I134" i="16" s="1"/>
  <c r="H155" i="16"/>
  <c r="I152" i="16" s="1"/>
  <c r="I126" i="16"/>
  <c r="H237" i="16"/>
  <c r="I237" i="16" s="1"/>
  <c r="H196" i="16"/>
  <c r="I191" i="16"/>
  <c r="H200" i="16"/>
  <c r="H201" i="16"/>
  <c r="H202" i="16"/>
  <c r="H203" i="16"/>
  <c r="H204" i="16"/>
  <c r="H199" i="16"/>
  <c r="H194" i="16"/>
  <c r="H195" i="16"/>
  <c r="H225" i="16"/>
  <c r="H224" i="16"/>
  <c r="H223" i="16"/>
  <c r="H222" i="16"/>
  <c r="H221" i="16"/>
  <c r="H220" i="16"/>
  <c r="C220" i="16"/>
  <c r="H219" i="16"/>
  <c r="C219" i="16"/>
  <c r="H218" i="16"/>
  <c r="C218" i="16"/>
  <c r="H215" i="16"/>
  <c r="H214" i="16"/>
  <c r="H213" i="16"/>
  <c r="H212" i="16"/>
  <c r="H211" i="16"/>
  <c r="H210" i="16"/>
  <c r="C210" i="16"/>
  <c r="I209" i="16"/>
  <c r="H209" i="16"/>
  <c r="C209" i="16"/>
  <c r="H208" i="16"/>
  <c r="C208" i="16"/>
  <c r="H207" i="16"/>
  <c r="C207" i="16"/>
  <c r="C201" i="16"/>
  <c r="C200" i="16"/>
  <c r="C199" i="16"/>
  <c r="H198" i="16"/>
  <c r="C198" i="16"/>
  <c r="I193" i="16"/>
  <c r="H193" i="16"/>
  <c r="H192" i="16"/>
  <c r="C192" i="16"/>
  <c r="H191" i="16"/>
  <c r="C191" i="16"/>
  <c r="J190" i="16"/>
  <c r="H190" i="16"/>
  <c r="C190" i="16"/>
  <c r="J189" i="16"/>
  <c r="H189" i="16"/>
  <c r="C189" i="16"/>
  <c r="J188" i="16"/>
  <c r="I188" i="16"/>
  <c r="H188" i="16"/>
  <c r="C188" i="16"/>
  <c r="J187" i="16"/>
  <c r="H187" i="16"/>
  <c r="C187" i="16"/>
  <c r="J186" i="16"/>
  <c r="I184" i="16"/>
  <c r="H288" i="16"/>
  <c r="H281" i="16"/>
  <c r="H298" i="16"/>
  <c r="H292" i="16"/>
  <c r="H307" i="16"/>
  <c r="H306" i="16"/>
  <c r="H305" i="16"/>
  <c r="H304" i="16"/>
  <c r="C304" i="16"/>
  <c r="H303" i="16"/>
  <c r="C303" i="16"/>
  <c r="H302" i="16"/>
  <c r="C302" i="16"/>
  <c r="H301" i="16"/>
  <c r="C301" i="16"/>
  <c r="H300" i="16"/>
  <c r="C300" i="16"/>
  <c r="H297" i="16"/>
  <c r="H296" i="16"/>
  <c r="H295" i="16"/>
  <c r="H294" i="16"/>
  <c r="H293" i="16"/>
  <c r="C292" i="16"/>
  <c r="H291" i="16"/>
  <c r="C291" i="16"/>
  <c r="H290" i="16"/>
  <c r="C290" i="16"/>
  <c r="I293" i="16"/>
  <c r="I307" i="16"/>
  <c r="I287" i="16"/>
  <c r="H287" i="16"/>
  <c r="H286" i="16"/>
  <c r="H285" i="16"/>
  <c r="H284" i="16"/>
  <c r="H283" i="16"/>
  <c r="H282" i="16"/>
  <c r="C282" i="16"/>
  <c r="C281" i="16"/>
  <c r="H280" i="16"/>
  <c r="C280" i="16"/>
  <c r="H279" i="16"/>
  <c r="C279" i="16"/>
  <c r="H277" i="16"/>
  <c r="H276" i="16"/>
  <c r="H275" i="16"/>
  <c r="H274" i="16"/>
  <c r="H273" i="16"/>
  <c r="C273" i="16"/>
  <c r="H272" i="16"/>
  <c r="C272" i="16"/>
  <c r="H271" i="16"/>
  <c r="C271" i="16"/>
  <c r="H270" i="16"/>
  <c r="C270" i="16"/>
  <c r="H269" i="16"/>
  <c r="C269" i="16"/>
  <c r="H267" i="16"/>
  <c r="I270" i="16"/>
  <c r="I260" i="16"/>
  <c r="I265" i="16"/>
  <c r="I263" i="16"/>
  <c r="I129" i="16" l="1"/>
  <c r="I155" i="16"/>
  <c r="H206" i="16"/>
  <c r="I206" i="16" s="1"/>
  <c r="H227" i="16"/>
  <c r="I227" i="16" s="1"/>
  <c r="H197" i="16"/>
  <c r="I197" i="16" s="1"/>
  <c r="H217" i="16"/>
  <c r="I217" i="16" s="1"/>
  <c r="H299" i="16"/>
  <c r="I299" i="16" s="1"/>
  <c r="I224" i="16" l="1"/>
  <c r="I201" i="16"/>
  <c r="I192" i="16"/>
  <c r="I189" i="16"/>
  <c r="I198" i="16"/>
  <c r="H265" i="16"/>
  <c r="H264" i="16"/>
  <c r="C264" i="16"/>
  <c r="H263" i="16"/>
  <c r="C263" i="16"/>
  <c r="H262" i="16"/>
  <c r="C262" i="16"/>
  <c r="H261" i="16"/>
  <c r="C261" i="16"/>
  <c r="H260" i="16"/>
  <c r="C260" i="16"/>
  <c r="H259" i="16"/>
  <c r="C259" i="16"/>
  <c r="I281" i="16"/>
  <c r="H266" i="16"/>
  <c r="J262" i="16"/>
  <c r="J261" i="16"/>
  <c r="J260" i="16"/>
  <c r="J259" i="16"/>
  <c r="J258" i="16"/>
  <c r="I256" i="16"/>
  <c r="H398" i="16"/>
  <c r="H397" i="16"/>
  <c r="H391" i="16"/>
  <c r="H388" i="16"/>
  <c r="H396" i="16"/>
  <c r="H387" i="16"/>
  <c r="H386" i="16"/>
  <c r="H377" i="16"/>
  <c r="H381" i="16"/>
  <c r="C381" i="16"/>
  <c r="I382" i="16"/>
  <c r="H395" i="16"/>
  <c r="H394" i="16"/>
  <c r="H393" i="16"/>
  <c r="H392" i="16"/>
  <c r="C392" i="16"/>
  <c r="C391" i="16"/>
  <c r="H390" i="16"/>
  <c r="C390" i="16"/>
  <c r="H385" i="16"/>
  <c r="H384" i="16"/>
  <c r="H383" i="16"/>
  <c r="H382" i="16"/>
  <c r="C382" i="16"/>
  <c r="H380" i="16"/>
  <c r="C380" i="16"/>
  <c r="H379" i="16"/>
  <c r="C379" i="16"/>
  <c r="H375" i="16"/>
  <c r="H376" i="16"/>
  <c r="I370" i="16"/>
  <c r="H374" i="16"/>
  <c r="H373" i="16"/>
  <c r="H372" i="16"/>
  <c r="H371" i="16"/>
  <c r="H370" i="16"/>
  <c r="C370" i="16"/>
  <c r="H369" i="16"/>
  <c r="C369" i="16"/>
  <c r="H368" i="16"/>
  <c r="C368" i="16"/>
  <c r="H366" i="16"/>
  <c r="I360" i="16"/>
  <c r="H365" i="16"/>
  <c r="H364" i="16"/>
  <c r="H363" i="16"/>
  <c r="C363" i="16"/>
  <c r="H362" i="16"/>
  <c r="C362" i="16"/>
  <c r="H361" i="16"/>
  <c r="C361" i="16"/>
  <c r="H360" i="16"/>
  <c r="C360" i="16"/>
  <c r="H359" i="16"/>
  <c r="C359" i="16"/>
  <c r="I296" i="16" l="1"/>
  <c r="H289" i="16"/>
  <c r="I289" i="16" s="1"/>
  <c r="H308" i="16"/>
  <c r="H278" i="16"/>
  <c r="I272" i="16" s="1"/>
  <c r="H268" i="16"/>
  <c r="I269" i="16" s="1"/>
  <c r="H389" i="16"/>
  <c r="H378" i="16"/>
  <c r="H367" i="16"/>
  <c r="I308" i="16" l="1"/>
  <c r="I278" i="16"/>
  <c r="I264" i="16"/>
  <c r="I268" i="16"/>
  <c r="I261" i="16"/>
  <c r="H357" i="16"/>
  <c r="I350" i="16"/>
  <c r="H353" i="16"/>
  <c r="H354" i="16"/>
  <c r="H355" i="16"/>
  <c r="H356" i="16"/>
  <c r="C353" i="16"/>
  <c r="H352" i="16"/>
  <c r="C352" i="16"/>
  <c r="H351" i="16"/>
  <c r="C351" i="16"/>
  <c r="H350" i="16"/>
  <c r="C350" i="16"/>
  <c r="H349" i="16"/>
  <c r="C349" i="16"/>
  <c r="H358" i="16" l="1"/>
  <c r="I358" i="16" s="1"/>
  <c r="H246" i="17" l="1"/>
  <c r="H245" i="17"/>
  <c r="H244" i="17"/>
  <c r="H243" i="17"/>
  <c r="H242" i="17"/>
  <c r="H241" i="17"/>
  <c r="H240" i="17"/>
  <c r="C240" i="17"/>
  <c r="H239" i="17"/>
  <c r="C239" i="17"/>
  <c r="H238" i="17"/>
  <c r="C238" i="17"/>
  <c r="H230" i="17"/>
  <c r="H229" i="17"/>
  <c r="H228" i="17"/>
  <c r="H227" i="17"/>
  <c r="H226" i="17"/>
  <c r="H225" i="17"/>
  <c r="C225" i="17"/>
  <c r="H224" i="17"/>
  <c r="C224" i="17"/>
  <c r="H223" i="17"/>
  <c r="C223" i="17"/>
  <c r="H222" i="17"/>
  <c r="C222" i="17"/>
  <c r="H220" i="17"/>
  <c r="H219" i="17"/>
  <c r="H218" i="17"/>
  <c r="H217" i="17"/>
  <c r="H216" i="17"/>
  <c r="C216" i="17"/>
  <c r="H215" i="17"/>
  <c r="C215" i="17"/>
  <c r="H214" i="17"/>
  <c r="C214" i="17"/>
  <c r="H213" i="17"/>
  <c r="C213" i="17"/>
  <c r="H212" i="17"/>
  <c r="C212" i="17"/>
  <c r="H211" i="17"/>
  <c r="C211" i="17"/>
  <c r="H209" i="17"/>
  <c r="H208" i="17"/>
  <c r="H207" i="17"/>
  <c r="H206" i="17"/>
  <c r="C206" i="17"/>
  <c r="H205" i="17"/>
  <c r="C205" i="17"/>
  <c r="H204" i="17"/>
  <c r="C204" i="17"/>
  <c r="H203" i="17"/>
  <c r="C203" i="17"/>
  <c r="H202" i="17"/>
  <c r="C202" i="17"/>
  <c r="H200" i="17"/>
  <c r="H199" i="17"/>
  <c r="H198" i="17"/>
  <c r="H197" i="17"/>
  <c r="H196" i="17"/>
  <c r="H195" i="17"/>
  <c r="H194" i="17"/>
  <c r="C194" i="17"/>
  <c r="H193" i="17"/>
  <c r="C193" i="17"/>
  <c r="H192" i="17"/>
  <c r="C192" i="17"/>
  <c r="H190" i="17"/>
  <c r="H189" i="17"/>
  <c r="H188" i="17"/>
  <c r="H187" i="17"/>
  <c r="H186" i="17"/>
  <c r="H185" i="17"/>
  <c r="C185" i="17"/>
  <c r="H184" i="17"/>
  <c r="C184" i="17"/>
  <c r="H183" i="17"/>
  <c r="C183" i="17"/>
  <c r="H182" i="17"/>
  <c r="C182" i="17"/>
  <c r="H181" i="17"/>
  <c r="C181" i="17"/>
  <c r="H171" i="17"/>
  <c r="H170" i="17"/>
  <c r="H169" i="17"/>
  <c r="H168" i="17"/>
  <c r="H167" i="17"/>
  <c r="H166" i="17"/>
  <c r="H165" i="17"/>
  <c r="C165" i="17"/>
  <c r="H164" i="17"/>
  <c r="C164" i="17"/>
  <c r="H163" i="17"/>
  <c r="C163" i="17"/>
  <c r="H162" i="17"/>
  <c r="C162" i="17"/>
  <c r="H160" i="17"/>
  <c r="H159" i="17"/>
  <c r="H158" i="17"/>
  <c r="H157" i="17"/>
  <c r="C157" i="17"/>
  <c r="H156" i="17"/>
  <c r="C156" i="17"/>
  <c r="H155" i="17"/>
  <c r="C155" i="17"/>
  <c r="H154" i="17"/>
  <c r="C154" i="17"/>
  <c r="H153" i="17"/>
  <c r="C153" i="17"/>
  <c r="H151" i="17"/>
  <c r="H150" i="17"/>
  <c r="H149" i="17"/>
  <c r="H148" i="17"/>
  <c r="C148" i="17"/>
  <c r="H147" i="17"/>
  <c r="C147" i="17"/>
  <c r="H146" i="17"/>
  <c r="C146" i="17"/>
  <c r="H145" i="17"/>
  <c r="C145" i="17"/>
  <c r="H144" i="17"/>
  <c r="C144" i="17"/>
  <c r="H142" i="17"/>
  <c r="H141" i="17"/>
  <c r="H140" i="17"/>
  <c r="H139" i="17"/>
  <c r="H138" i="17"/>
  <c r="C138" i="17"/>
  <c r="H137" i="17"/>
  <c r="C137" i="17"/>
  <c r="H136" i="17"/>
  <c r="C136" i="17"/>
  <c r="H135" i="17"/>
  <c r="C135" i="17"/>
  <c r="H134" i="17"/>
  <c r="C134" i="17"/>
  <c r="H133" i="17"/>
  <c r="C133" i="17"/>
  <c r="H131" i="17"/>
  <c r="H130" i="17"/>
  <c r="H129" i="17"/>
  <c r="H128" i="17"/>
  <c r="H127" i="17"/>
  <c r="H126" i="17"/>
  <c r="H125" i="17"/>
  <c r="C125" i="17"/>
  <c r="H124" i="17"/>
  <c r="C124" i="17"/>
  <c r="H123" i="17"/>
  <c r="C123" i="17"/>
  <c r="H112" i="17"/>
  <c r="H111" i="17"/>
  <c r="H110" i="17"/>
  <c r="H109" i="17"/>
  <c r="H108" i="17"/>
  <c r="H107" i="17"/>
  <c r="H106" i="17"/>
  <c r="C106" i="17"/>
  <c r="H105" i="17"/>
  <c r="C105" i="17"/>
  <c r="H104" i="17"/>
  <c r="C104" i="17"/>
  <c r="H103" i="17"/>
  <c r="C103" i="17"/>
  <c r="H101" i="17"/>
  <c r="H100" i="17"/>
  <c r="H99" i="17"/>
  <c r="H98" i="17"/>
  <c r="H97" i="17"/>
  <c r="C97" i="17"/>
  <c r="H96" i="17"/>
  <c r="C96" i="17"/>
  <c r="H95" i="17"/>
  <c r="C95" i="17"/>
  <c r="H94" i="17"/>
  <c r="C94" i="17"/>
  <c r="H92" i="17"/>
  <c r="H91" i="17"/>
  <c r="H90" i="17"/>
  <c r="H89" i="17"/>
  <c r="H88" i="17"/>
  <c r="H87" i="17"/>
  <c r="C87" i="17"/>
  <c r="H86" i="17"/>
  <c r="C86" i="17"/>
  <c r="H85" i="17"/>
  <c r="C85" i="17"/>
  <c r="H83" i="17"/>
  <c r="H82" i="17"/>
  <c r="H81" i="17"/>
  <c r="H80" i="17"/>
  <c r="C80" i="17"/>
  <c r="H79" i="17"/>
  <c r="C79" i="17"/>
  <c r="H78" i="17"/>
  <c r="C78" i="17"/>
  <c r="H77" i="17"/>
  <c r="C77" i="17"/>
  <c r="H76" i="17"/>
  <c r="C76" i="17"/>
  <c r="H74" i="17"/>
  <c r="H73" i="17"/>
  <c r="H72" i="17"/>
  <c r="H71" i="17"/>
  <c r="H70" i="17"/>
  <c r="H69" i="17"/>
  <c r="H68" i="17"/>
  <c r="C68" i="17"/>
  <c r="H67" i="17"/>
  <c r="C67" i="17"/>
  <c r="H66" i="17"/>
  <c r="C66" i="17"/>
  <c r="H54" i="17"/>
  <c r="H53" i="17"/>
  <c r="H52" i="17"/>
  <c r="H51" i="17"/>
  <c r="C51" i="17"/>
  <c r="H50" i="17"/>
  <c r="C50" i="17"/>
  <c r="H49" i="17"/>
  <c r="C49" i="17"/>
  <c r="H48" i="17"/>
  <c r="C48" i="17"/>
  <c r="H47" i="17"/>
  <c r="C47" i="17"/>
  <c r="H46" i="17"/>
  <c r="C46" i="17"/>
  <c r="H44" i="17"/>
  <c r="H43" i="17"/>
  <c r="H42" i="17"/>
  <c r="H41" i="17"/>
  <c r="H40" i="17"/>
  <c r="H39" i="17"/>
  <c r="H38" i="17"/>
  <c r="C38" i="17"/>
  <c r="H37" i="17"/>
  <c r="C37" i="17"/>
  <c r="H36" i="17"/>
  <c r="C36" i="17"/>
  <c r="H35" i="17"/>
  <c r="C35" i="17"/>
  <c r="H33" i="17"/>
  <c r="H32" i="17"/>
  <c r="H31" i="17"/>
  <c r="H30" i="17"/>
  <c r="H29" i="17"/>
  <c r="H28" i="17"/>
  <c r="H27" i="17"/>
  <c r="H26" i="17"/>
  <c r="C26" i="17"/>
  <c r="H25" i="17"/>
  <c r="C25" i="17"/>
  <c r="H24" i="17"/>
  <c r="C24" i="17"/>
  <c r="H22" i="17"/>
  <c r="H21" i="17"/>
  <c r="H20" i="17"/>
  <c r="H19" i="17"/>
  <c r="H18" i="17"/>
  <c r="H17" i="17"/>
  <c r="H16" i="17"/>
  <c r="C16" i="17"/>
  <c r="H15" i="17"/>
  <c r="C15" i="17"/>
  <c r="H14" i="17"/>
  <c r="C14" i="17"/>
  <c r="H12" i="17"/>
  <c r="H11" i="17"/>
  <c r="H10" i="17"/>
  <c r="H9" i="17"/>
  <c r="C9" i="17"/>
  <c r="H8" i="17"/>
  <c r="C8" i="17"/>
  <c r="H7" i="17"/>
  <c r="C7" i="17"/>
  <c r="H6" i="17"/>
  <c r="C6" i="17"/>
  <c r="H5" i="17"/>
  <c r="C5" i="17"/>
  <c r="I375" i="16"/>
  <c r="I353" i="16"/>
  <c r="J352" i="16"/>
  <c r="J351" i="16"/>
  <c r="J350" i="16"/>
  <c r="J349" i="16"/>
  <c r="J348" i="16"/>
  <c r="I346" i="16"/>
  <c r="H102" i="17" l="1"/>
  <c r="H113" i="17"/>
  <c r="H132" i="17"/>
  <c r="H172" i="17"/>
  <c r="H55" i="17"/>
  <c r="H93" i="17"/>
  <c r="H210" i="17"/>
  <c r="H75" i="17"/>
  <c r="H13" i="17"/>
  <c r="H34" i="17"/>
  <c r="H143" i="17"/>
  <c r="H152" i="17"/>
  <c r="H221" i="17"/>
  <c r="H161" i="17"/>
  <c r="H45" i="17"/>
  <c r="H84" i="17"/>
  <c r="H201" i="17"/>
  <c r="H23" i="17"/>
  <c r="H231" i="17"/>
  <c r="H191" i="17"/>
  <c r="H247" i="17"/>
  <c r="H399" i="16"/>
  <c r="I385" i="16"/>
  <c r="I378" i="16"/>
  <c r="I367" i="16"/>
  <c r="I399" i="16" l="1"/>
  <c r="I389" i="16"/>
  <c r="I351" i="16"/>
  <c r="I359" i="16"/>
  <c r="I354" i="16"/>
  <c r="I362" i="16"/>
</calcChain>
</file>

<file path=xl/sharedStrings.xml><?xml version="1.0" encoding="utf-8"?>
<sst xmlns="http://schemas.openxmlformats.org/spreadsheetml/2006/main" count="1284" uniqueCount="198">
  <si>
    <t>TRƯỜNG TIỂU HỌC QUANG MINH</t>
  </si>
  <si>
    <t>Kg</t>
  </si>
  <si>
    <t>kg</t>
  </si>
  <si>
    <t>ĐVT</t>
  </si>
  <si>
    <t xml:space="preserve">Thịt xay </t>
  </si>
  <si>
    <t xml:space="preserve">Đậu rán </t>
  </si>
  <si>
    <t xml:space="preserve">Bột chiên giòn </t>
  </si>
  <si>
    <t xml:space="preserve">Gạo BC chuẩn </t>
  </si>
  <si>
    <t>Hành khô</t>
  </si>
  <si>
    <t xml:space="preserve">Tép </t>
  </si>
  <si>
    <t>Rau mồng tơi</t>
  </si>
  <si>
    <t>THỨ</t>
  </si>
  <si>
    <t xml:space="preserve">TÊN THỰC PHẨM </t>
  </si>
  <si>
    <t>ĐỊNH LƯỢNG(gr)</t>
  </si>
  <si>
    <t>SỐ HS</t>
  </si>
  <si>
    <t>SL</t>
  </si>
  <si>
    <t>ĐƠN GIÁ</t>
  </si>
  <si>
    <t>THÀNH TIỀN</t>
  </si>
  <si>
    <t>Gạo BC</t>
  </si>
  <si>
    <t>8</t>
  </si>
  <si>
    <t>Gia vị ( dàu ăn, nước mắm, mỳ chính…)</t>
  </si>
  <si>
    <t>1</t>
  </si>
  <si>
    <t xml:space="preserve">T/M NHÀ TRƯỜNG </t>
  </si>
  <si>
    <t xml:space="preserve">NGƯỜI THEO DÕI </t>
  </si>
  <si>
    <t>BẾP TRƯỞNG</t>
  </si>
  <si>
    <t>Ngô ngọt sạch vỏ</t>
  </si>
  <si>
    <t xml:space="preserve">Nấm hương </t>
  </si>
  <si>
    <t>0,7</t>
  </si>
  <si>
    <t>Trứng vịt</t>
  </si>
  <si>
    <t>Hành lá</t>
  </si>
  <si>
    <t xml:space="preserve">Mọc </t>
  </si>
  <si>
    <t xml:space="preserve">Đậu trắng </t>
  </si>
  <si>
    <t xml:space="preserve">Cà chua </t>
  </si>
  <si>
    <t>Tép</t>
  </si>
  <si>
    <t>0,1</t>
  </si>
  <si>
    <t>3</t>
  </si>
  <si>
    <t xml:space="preserve"> Hành lá</t>
  </si>
  <si>
    <t>Giò lợn</t>
  </si>
  <si>
    <t>Ức gà CN không xương</t>
  </si>
  <si>
    <t>10,1</t>
  </si>
  <si>
    <t>Hành  lá</t>
  </si>
  <si>
    <t>0,2</t>
  </si>
  <si>
    <t>Hành lá, rau thơm</t>
  </si>
  <si>
    <t>27,2</t>
  </si>
  <si>
    <t>hành khô</t>
  </si>
  <si>
    <t>5</t>
  </si>
  <si>
    <t>6,2</t>
  </si>
  <si>
    <t xml:space="preserve">Xương ống </t>
  </si>
  <si>
    <t xml:space="preserve"> bí đỏ</t>
  </si>
  <si>
    <t>13</t>
  </si>
  <si>
    <t>Tỏi khô</t>
  </si>
  <si>
    <t>Rau thơm</t>
  </si>
  <si>
    <t>Thịt lợn sấn (mông, vai, thăn)</t>
  </si>
  <si>
    <t>5,8</t>
  </si>
  <si>
    <t>Bầu</t>
  </si>
  <si>
    <t>16</t>
  </si>
  <si>
    <t>27,8</t>
  </si>
  <si>
    <t>12</t>
  </si>
  <si>
    <t>Rau  bầu</t>
  </si>
  <si>
    <t>Rau cải</t>
  </si>
  <si>
    <t>27,7</t>
  </si>
  <si>
    <t>7,1</t>
  </si>
  <si>
    <t xml:space="preserve">Thịt gà CN bỏ đầu chân cổ cánh </t>
  </si>
  <si>
    <t xml:space="preserve">Trứng vịt </t>
  </si>
  <si>
    <t>7</t>
  </si>
  <si>
    <t>7,4</t>
  </si>
  <si>
    <t>27,6</t>
  </si>
  <si>
    <t>Chả lợn</t>
  </si>
  <si>
    <t>9</t>
  </si>
  <si>
    <t xml:space="preserve">Canh bí xanh </t>
  </si>
  <si>
    <t>BẢNG ĐỊNH LƯỢNG THỰC PHẨM SUẤT ĂN BÁN TRÚ THÁNG 01/2025</t>
  </si>
  <si>
    <t>7,3</t>
  </si>
  <si>
    <t>Thịt xay</t>
  </si>
  <si>
    <t>Canh su hào</t>
  </si>
  <si>
    <t>Tổm biển ( loại 110 con)</t>
  </si>
  <si>
    <t>27,5</t>
  </si>
  <si>
    <t xml:space="preserve">  T2
13/01</t>
  </si>
  <si>
    <t>Từ ngày 13/01/2025</t>
  </si>
  <si>
    <t xml:space="preserve">  T2
03/02</t>
  </si>
  <si>
    <t>BẢNG ĐỊNH LƯỢNG THỰC PHẨM SUẤT ĂN BÁN TRÚ THÁNG 02/2025</t>
  </si>
  <si>
    <t>Từ ngày03/02 đến ngày 07/02/2025</t>
  </si>
  <si>
    <t xml:space="preserve">  T3
04/02</t>
  </si>
  <si>
    <t xml:space="preserve">  T4
05/02</t>
  </si>
  <si>
    <t xml:space="preserve">  T5
06/02</t>
  </si>
  <si>
    <t xml:space="preserve">  T6
07/02</t>
  </si>
  <si>
    <t>12,1</t>
  </si>
  <si>
    <t>13,3</t>
  </si>
  <si>
    <t>Cá rô phi lê</t>
  </si>
  <si>
    <t>131</t>
  </si>
  <si>
    <t>18,5</t>
  </si>
  <si>
    <t>Rầu hào Magi350ml</t>
  </si>
  <si>
    <t>Chai</t>
  </si>
  <si>
    <t>2</t>
  </si>
  <si>
    <t>6,5</t>
  </si>
  <si>
    <t xml:space="preserve">  T2
10/02</t>
  </si>
  <si>
    <t xml:space="preserve">  T3
11/02</t>
  </si>
  <si>
    <t>Từ ngày 10 /02 đến ngày 14/02/2025</t>
  </si>
  <si>
    <t xml:space="preserve">  T4
12/02</t>
  </si>
  <si>
    <t xml:space="preserve">  T5
13/02</t>
  </si>
  <si>
    <t xml:space="preserve">  T6
14/02</t>
  </si>
  <si>
    <t>Bột chiên ròn</t>
  </si>
  <si>
    <t xml:space="preserve">Bí đao xanh </t>
  </si>
  <si>
    <t>17,7</t>
  </si>
  <si>
    <t>129</t>
  </si>
  <si>
    <t>5,1</t>
  </si>
  <si>
    <t>Từ ngày 17 /02 đến ngày 21/02/2025</t>
  </si>
  <si>
    <t>27,9</t>
  </si>
  <si>
    <t>12,3</t>
  </si>
  <si>
    <t xml:space="preserve">  T3
18/02</t>
  </si>
  <si>
    <t xml:space="preserve">  T2
2/02</t>
  </si>
  <si>
    <t xml:space="preserve">  T4
19/02</t>
  </si>
  <si>
    <t>11,9</t>
  </si>
  <si>
    <t xml:space="preserve">  T5
20/02</t>
  </si>
  <si>
    <t xml:space="preserve">  T6
21/02</t>
  </si>
  <si>
    <t>27,76</t>
  </si>
  <si>
    <t>18,3</t>
  </si>
  <si>
    <t>Từ ngày 24 /02 đến ngày 28/02/2025</t>
  </si>
  <si>
    <t xml:space="preserve">  T2
24/02</t>
  </si>
  <si>
    <t xml:space="preserve">  T3
25/02</t>
  </si>
  <si>
    <t>12,6</t>
  </si>
  <si>
    <t xml:space="preserve">  T4
26/02</t>
  </si>
  <si>
    <t xml:space="preserve">  T5
27/02</t>
  </si>
  <si>
    <t>5,3</t>
  </si>
  <si>
    <t>T6 28/02</t>
  </si>
  <si>
    <t>Từ ngày 03/03 đến ngày 07/03/2025</t>
  </si>
  <si>
    <t xml:space="preserve">  T2
03/03</t>
  </si>
  <si>
    <t xml:space="preserve">  T3
04/03</t>
  </si>
  <si>
    <t xml:space="preserve">  T4
05/03</t>
  </si>
  <si>
    <t xml:space="preserve">  T5
06/03</t>
  </si>
  <si>
    <t>T6 07/03</t>
  </si>
  <si>
    <t>5,2</t>
  </si>
  <si>
    <t>Từ ngày 10/03 đến ngày 14/03/2025</t>
  </si>
  <si>
    <t>Gừng tươi</t>
  </si>
  <si>
    <t xml:space="preserve">  T2
10/03</t>
  </si>
  <si>
    <t xml:space="preserve">  T3
11/03</t>
  </si>
  <si>
    <t xml:space="preserve">  T4
12/03</t>
  </si>
  <si>
    <t xml:space="preserve">  T5
13/03</t>
  </si>
  <si>
    <t>T6 14/03</t>
  </si>
  <si>
    <t>12,4</t>
  </si>
  <si>
    <t>BẢNG ĐỊNH LƯỢNG THỰC PHẨM SUẤT ĂN BÁN TRÚ THÁNG 03/2025</t>
  </si>
  <si>
    <t>10</t>
  </si>
  <si>
    <t>18,4</t>
  </si>
  <si>
    <t>Từ ngày 17/03 đến ngày 21/03/2025</t>
  </si>
  <si>
    <t xml:space="preserve">  T2
17/03</t>
  </si>
  <si>
    <t xml:space="preserve">  T3
18/03</t>
  </si>
  <si>
    <t xml:space="preserve">  T4
19/03</t>
  </si>
  <si>
    <t xml:space="preserve">  T5
20/03</t>
  </si>
  <si>
    <t>T6 21/03</t>
  </si>
  <si>
    <t>9,3</t>
  </si>
  <si>
    <t>17,8</t>
  </si>
  <si>
    <t>5,5</t>
  </si>
  <si>
    <t>17,4</t>
  </si>
  <si>
    <t xml:space="preserve">Trứng cút </t>
  </si>
  <si>
    <t>Rau mùng tơi</t>
  </si>
  <si>
    <t xml:space="preserve">Mướp hương </t>
  </si>
  <si>
    <t xml:space="preserve">  T4
01/04</t>
  </si>
  <si>
    <t xml:space="preserve">  T4
02/04</t>
  </si>
  <si>
    <t xml:space="preserve">  T5
03/04</t>
  </si>
  <si>
    <t>T6    04/04</t>
  </si>
  <si>
    <t>BẢNG ĐỊNH LƯỢNG THỰC PHẨM SUẤT ĂN BÁN TRÚ THÁNG 04/2025</t>
  </si>
  <si>
    <t>Từ ngày 01/04 đến ngày 04/04/2025</t>
  </si>
  <si>
    <t xml:space="preserve">Rau ngót </t>
  </si>
  <si>
    <t>120</t>
  </si>
  <si>
    <t>cái</t>
  </si>
  <si>
    <t>8,5</t>
  </si>
  <si>
    <t>Nhờ bác hàng thịt lọc bì để riêng luôn</t>
  </si>
  <si>
    <t>4,1</t>
  </si>
  <si>
    <t>Cà chua</t>
  </si>
  <si>
    <t xml:space="preserve">Cải ngọt </t>
  </si>
  <si>
    <t>4</t>
  </si>
  <si>
    <t>Từ ngày 08/04 đến ngày 12/04/2025</t>
  </si>
  <si>
    <t xml:space="preserve">  T4
09/04</t>
  </si>
  <si>
    <t>Rầu hào Magi880ml</t>
  </si>
  <si>
    <t xml:space="preserve">  T3
08/04</t>
  </si>
  <si>
    <t xml:space="preserve">Bầu </t>
  </si>
  <si>
    <t>125</t>
  </si>
  <si>
    <t>17</t>
  </si>
  <si>
    <t xml:space="preserve">  T5
10/04</t>
  </si>
  <si>
    <t>T6    11/04</t>
  </si>
  <si>
    <t>còn 230 em 1 em nghỉ 1 tháng</t>
  </si>
  <si>
    <t>3 em nghỉ ngáy 10-11 còn 229</t>
  </si>
  <si>
    <t>15 em nghỉ ngáy 10-11 còn 229</t>
  </si>
  <si>
    <t>26,1</t>
  </si>
  <si>
    <t>9,9</t>
  </si>
  <si>
    <t>Tổng còn 228 em ăn</t>
  </si>
  <si>
    <t>8,9</t>
  </si>
  <si>
    <t>Từ ngày 15/04 đến ngày 1904/2025</t>
  </si>
  <si>
    <t xml:space="preserve">  T2
14/04</t>
  </si>
  <si>
    <t xml:space="preserve">  T3
15/04</t>
  </si>
  <si>
    <t xml:space="preserve">  T4
16/04</t>
  </si>
  <si>
    <t>T5    17/04</t>
  </si>
  <si>
    <t>T6    18/04</t>
  </si>
  <si>
    <t>Gừng</t>
  </si>
  <si>
    <t>127</t>
  </si>
  <si>
    <t>Bí đỏ</t>
  </si>
  <si>
    <t>Mùi tàu</t>
  </si>
  <si>
    <t>Cà chua đắt thế</t>
  </si>
  <si>
    <t>10,9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</si>
</sst>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₫_-;\-* #,##0.00\ _₫_-;_-* &quot;-&quot;??\ _₫_-;_-@_-"/>
    <numFmt numFmtId="169" formatCode="_(* #,##0.0_);_(* \(#,##0.0\);_(* &quot;-&quot;??_);_(@_)"/>
    <numFmt numFmtId="170" formatCode="&quot;$&quot;#,##0_);\(&quot;$&quot;#,##0\)"/>
    <numFmt numFmtId="171" formatCode="#,##0.0"/>
  </numFmts>
  <fonts count="31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Arial"/>
      <family val="2"/>
      <scheme val="minor"/>
    </font>
    <font>
      <sz val="14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Arial"/>
      <family val="2"/>
      <scheme val="minor"/>
    </font>
    <font>
      <sz val="12"/>
      <color theme="1"/>
      <name val="Times New Roman"/>
      <family val="1"/>
    </font>
    <font>
      <sz val="8"/>
      <name val="Arial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VNbook-Antiqua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  <charset val="163"/>
    </font>
    <font>
      <b/>
      <sz val="12"/>
      <color theme="1"/>
      <name val="Arial"/>
      <family val="2"/>
      <charset val="163"/>
      <scheme val="minor"/>
    </font>
    <font>
      <sz val="14"/>
      <color theme="1"/>
      <name val="Arial"/>
      <family val="2"/>
      <scheme val="minor"/>
    </font>
    <font>
      <sz val="12"/>
      <color rgb="FFFF0000"/>
      <name val="Times New Roman"/>
      <family val="1"/>
    </font>
    <font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color rgb="FFFF0000"/>
      <name val="Arial"/>
      <family val="2"/>
      <charset val="163"/>
      <scheme val="minor"/>
    </font>
    <font>
      <sz val="12"/>
      <name val="Arial"/>
      <family val="2"/>
      <scheme val="minor"/>
    </font>
    <font>
      <b/>
      <sz val="12"/>
      <color rgb="FFFF0000"/>
      <name val="Times New Roman"/>
      <family val="1"/>
      <charset val="163"/>
    </font>
    <font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8" fillId="0" borderId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50">
    <xf numFmtId="0" fontId="0" fillId="0" borderId="0" xfId="0"/>
    <xf numFmtId="0" fontId="1" fillId="0" borderId="0" xfId="0" applyFont="1"/>
    <xf numFmtId="165" fontId="1" fillId="0" borderId="1" xfId="1" applyNumberFormat="1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5" xfId="0" applyFont="1" applyBorder="1"/>
    <xf numFmtId="3" fontId="5" fillId="0" borderId="5" xfId="0" applyNumberFormat="1" applyFont="1" applyBorder="1"/>
    <xf numFmtId="165" fontId="1" fillId="0" borderId="5" xfId="1" applyNumberFormat="1" applyFont="1" applyBorder="1"/>
    <xf numFmtId="0" fontId="1" fillId="0" borderId="6" xfId="0" applyFont="1" applyBorder="1"/>
    <xf numFmtId="3" fontId="1" fillId="0" borderId="6" xfId="0" applyNumberFormat="1" applyFont="1" applyBorder="1"/>
    <xf numFmtId="165" fontId="1" fillId="0" borderId="6" xfId="1" applyNumberFormat="1" applyFont="1" applyBorder="1"/>
    <xf numFmtId="0" fontId="1" fillId="0" borderId="7" xfId="0" applyFont="1" applyBorder="1"/>
    <xf numFmtId="49" fontId="1" fillId="0" borderId="7" xfId="1" applyNumberFormat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4" xfId="0" applyFont="1" applyBorder="1"/>
    <xf numFmtId="3" fontId="1" fillId="0" borderId="14" xfId="0" applyNumberFormat="1" applyFont="1" applyBorder="1"/>
    <xf numFmtId="0" fontId="12" fillId="0" borderId="6" xfId="0" applyFont="1" applyBorder="1"/>
    <xf numFmtId="0" fontId="1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0" fontId="3" fillId="0" borderId="6" xfId="0" applyFont="1" applyBorder="1"/>
    <xf numFmtId="0" fontId="11" fillId="2" borderId="0" xfId="0" applyFont="1" applyFill="1"/>
    <xf numFmtId="0" fontId="3" fillId="0" borderId="6" xfId="0" applyFont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9" fillId="0" borderId="7" xfId="0" applyFont="1" applyBorder="1"/>
    <xf numFmtId="49" fontId="19" fillId="0" borderId="7" xfId="1" applyNumberFormat="1" applyFont="1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1" fillId="0" borderId="0" xfId="0" applyFont="1"/>
    <xf numFmtId="0" fontId="22" fillId="0" borderId="2" xfId="0" applyFont="1" applyBorder="1"/>
    <xf numFmtId="49" fontId="12" fillId="0" borderId="5" xfId="0" applyNumberFormat="1" applyFont="1" applyBorder="1"/>
    <xf numFmtId="0" fontId="12" fillId="0" borderId="5" xfId="0" applyFont="1" applyBorder="1"/>
    <xf numFmtId="3" fontId="22" fillId="0" borderId="2" xfId="0" applyNumberFormat="1" applyFont="1" applyBorder="1"/>
    <xf numFmtId="165" fontId="12" fillId="0" borderId="5" xfId="1" applyNumberFormat="1" applyFont="1" applyBorder="1"/>
    <xf numFmtId="0" fontId="23" fillId="2" borderId="0" xfId="0" applyFont="1" applyFill="1"/>
    <xf numFmtId="0" fontId="23" fillId="0" borderId="0" xfId="0" applyFont="1"/>
    <xf numFmtId="49" fontId="12" fillId="0" borderId="6" xfId="1" applyNumberFormat="1" applyFont="1" applyBorder="1" applyAlignment="1">
      <alignment horizontal="center" vertical="center"/>
    </xf>
    <xf numFmtId="3" fontId="12" fillId="0" borderId="6" xfId="0" applyNumberFormat="1" applyFont="1" applyBorder="1"/>
    <xf numFmtId="165" fontId="12" fillId="0" borderId="6" xfId="1" applyNumberFormat="1" applyFont="1" applyBorder="1"/>
    <xf numFmtId="0" fontId="12" fillId="0" borderId="3" xfId="0" applyFont="1" applyBorder="1" applyAlignment="1">
      <alignment vertical="center"/>
    </xf>
    <xf numFmtId="164" fontId="23" fillId="0" borderId="0" xfId="1" applyFont="1"/>
    <xf numFmtId="165" fontId="23" fillId="0" borderId="0" xfId="1" applyNumberFormat="1" applyFont="1"/>
    <xf numFmtId="0" fontId="12" fillId="0" borderId="7" xfId="0" applyFont="1" applyBorder="1"/>
    <xf numFmtId="49" fontId="12" fillId="0" borderId="7" xfId="1" applyNumberFormat="1" applyFont="1" applyBorder="1" applyAlignment="1">
      <alignment horizontal="center" vertical="center"/>
    </xf>
    <xf numFmtId="49" fontId="12" fillId="0" borderId="7" xfId="1" applyNumberFormat="1" applyFont="1" applyBorder="1"/>
    <xf numFmtId="165" fontId="23" fillId="0" borderId="0" xfId="0" applyNumberFormat="1" applyFont="1"/>
    <xf numFmtId="165" fontId="12" fillId="0" borderId="0" xfId="1" applyNumberFormat="1" applyFont="1" applyBorder="1"/>
    <xf numFmtId="165" fontId="12" fillId="0" borderId="7" xfId="1" applyNumberFormat="1" applyFont="1" applyBorder="1"/>
    <xf numFmtId="0" fontId="24" fillId="0" borderId="0" xfId="0" applyFont="1"/>
    <xf numFmtId="166" fontId="23" fillId="0" borderId="0" xfId="0" applyNumberFormat="1" applyFont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5" fontId="7" fillId="0" borderId="1" xfId="0" applyNumberFormat="1" applyFont="1" applyBorder="1"/>
    <xf numFmtId="49" fontId="12" fillId="0" borderId="2" xfId="0" applyNumberFormat="1" applyFont="1" applyBorder="1" applyAlignment="1">
      <alignment horizontal="center"/>
    </xf>
    <xf numFmtId="3" fontId="25" fillId="0" borderId="5" xfId="0" applyNumberFormat="1" applyFont="1" applyBorder="1"/>
    <xf numFmtId="49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165" fontId="20" fillId="0" borderId="0" xfId="0" applyNumberFormat="1" applyFont="1"/>
    <xf numFmtId="0" fontId="20" fillId="0" borderId="0" xfId="0" applyFont="1"/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/>
    <xf numFmtId="0" fontId="26" fillId="0" borderId="11" xfId="0" applyFont="1" applyBorder="1"/>
    <xf numFmtId="49" fontId="26" fillId="0" borderId="1" xfId="1" applyNumberFormat="1" applyFont="1" applyBorder="1" applyAlignment="1">
      <alignment horizontal="center" vertical="center"/>
    </xf>
    <xf numFmtId="49" fontId="26" fillId="0" borderId="11" xfId="1" applyNumberFormat="1" applyFont="1" applyBorder="1"/>
    <xf numFmtId="165" fontId="26" fillId="0" borderId="1" xfId="1" applyNumberFormat="1" applyFont="1" applyBorder="1"/>
    <xf numFmtId="0" fontId="27" fillId="0" borderId="0" xfId="0" applyFont="1"/>
    <xf numFmtId="0" fontId="12" fillId="0" borderId="2" xfId="0" applyFont="1" applyBorder="1" applyAlignment="1">
      <alignment horizontal="center"/>
    </xf>
    <xf numFmtId="0" fontId="12" fillId="0" borderId="15" xfId="0" applyFont="1" applyBorder="1"/>
    <xf numFmtId="0" fontId="12" fillId="0" borderId="3" xfId="0" applyFont="1" applyBorder="1"/>
    <xf numFmtId="165" fontId="12" fillId="0" borderId="3" xfId="1" applyNumberFormat="1" applyFont="1" applyBorder="1"/>
    <xf numFmtId="0" fontId="12" fillId="0" borderId="9" xfId="0" applyFont="1" applyBorder="1"/>
    <xf numFmtId="0" fontId="12" fillId="0" borderId="6" xfId="0" applyFont="1" applyBorder="1" applyAlignment="1">
      <alignment horizontal="center"/>
    </xf>
    <xf numFmtId="0" fontId="12" fillId="0" borderId="17" xfId="0" applyFont="1" applyBorder="1"/>
    <xf numFmtId="3" fontId="25" fillId="0" borderId="9" xfId="0" applyNumberFormat="1" applyFont="1" applyBorder="1"/>
    <xf numFmtId="0" fontId="12" fillId="0" borderId="16" xfId="0" applyFont="1" applyBorder="1" applyAlignment="1">
      <alignment horizontal="center"/>
    </xf>
    <xf numFmtId="0" fontId="12" fillId="0" borderId="18" xfId="0" applyFont="1" applyBorder="1"/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49" fontId="12" fillId="0" borderId="3" xfId="0" applyNumberFormat="1" applyFont="1" applyBorder="1" applyAlignment="1">
      <alignment horizontal="center"/>
    </xf>
    <xf numFmtId="0" fontId="22" fillId="0" borderId="4" xfId="0" applyFont="1" applyBorder="1"/>
    <xf numFmtId="164" fontId="21" fillId="0" borderId="0" xfId="1" applyFont="1"/>
    <xf numFmtId="165" fontId="23" fillId="2" borderId="0" xfId="0" applyNumberFormat="1" applyFont="1" applyFill="1"/>
    <xf numFmtId="165" fontId="27" fillId="0" borderId="0" xfId="0" applyNumberFormat="1" applyFont="1"/>
    <xf numFmtId="0" fontId="22" fillId="0" borderId="2" xfId="0" applyFont="1" applyBorder="1" applyAlignment="1">
      <alignment horizontal="center"/>
    </xf>
    <xf numFmtId="171" fontId="12" fillId="0" borderId="6" xfId="0" applyNumberFormat="1" applyFont="1" applyBorder="1" applyAlignment="1">
      <alignment horizontal="center"/>
    </xf>
    <xf numFmtId="49" fontId="22" fillId="0" borderId="1" xfId="1" applyNumberFormat="1" applyFont="1" applyBorder="1" applyAlignment="1">
      <alignment horizontal="center"/>
    </xf>
    <xf numFmtId="49" fontId="22" fillId="0" borderId="3" xfId="1" applyNumberFormat="1" applyFont="1" applyBorder="1" applyAlignment="1">
      <alignment horizontal="center"/>
    </xf>
    <xf numFmtId="49" fontId="22" fillId="0" borderId="6" xfId="1" applyNumberFormat="1" applyFont="1" applyBorder="1" applyAlignment="1">
      <alignment horizontal="center"/>
    </xf>
    <xf numFmtId="49" fontId="22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165" fontId="1" fillId="0" borderId="6" xfId="1" applyNumberFormat="1" applyFont="1" applyBorder="1" applyAlignment="1">
      <alignment horizontal="center"/>
    </xf>
    <xf numFmtId="0" fontId="12" fillId="0" borderId="2" xfId="0" applyFont="1" applyBorder="1"/>
    <xf numFmtId="3" fontId="25" fillId="0" borderId="3" xfId="0" applyNumberFormat="1" applyFont="1" applyBorder="1"/>
    <xf numFmtId="0" fontId="22" fillId="0" borderId="5" xfId="0" applyFont="1" applyBorder="1"/>
    <xf numFmtId="0" fontId="22" fillId="0" borderId="6" xfId="0" applyFont="1" applyBorder="1"/>
    <xf numFmtId="0" fontId="22" fillId="0" borderId="6" xfId="0" applyFont="1" applyBorder="1" applyAlignment="1">
      <alignment horizontal="center"/>
    </xf>
    <xf numFmtId="165" fontId="24" fillId="0" borderId="0" xfId="0" applyNumberFormat="1" applyFont="1"/>
    <xf numFmtId="0" fontId="22" fillId="0" borderId="1" xfId="0" applyFont="1" applyBorder="1" applyAlignment="1">
      <alignment vertical="center"/>
    </xf>
    <xf numFmtId="0" fontId="22" fillId="0" borderId="2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5" fontId="10" fillId="0" borderId="1" xfId="0" applyNumberFormat="1" applyFont="1" applyBorder="1"/>
    <xf numFmtId="0" fontId="22" fillId="0" borderId="1" xfId="0" applyFont="1" applyBorder="1" applyAlignment="1">
      <alignment horizontal="center" vertical="center" wrapText="1"/>
    </xf>
    <xf numFmtId="49" fontId="22" fillId="0" borderId="4" xfId="1" applyNumberFormat="1" applyFont="1" applyBorder="1" applyAlignment="1">
      <alignment horizontal="center" vertical="center"/>
    </xf>
    <xf numFmtId="165" fontId="22" fillId="0" borderId="4" xfId="1" applyNumberFormat="1" applyFont="1" applyBorder="1"/>
    <xf numFmtId="165" fontId="10" fillId="0" borderId="1" xfId="1" applyNumberFormat="1" applyFont="1" applyBorder="1"/>
    <xf numFmtId="0" fontId="25" fillId="0" borderId="5" xfId="0" applyFont="1" applyBorder="1"/>
    <xf numFmtId="49" fontId="25" fillId="0" borderId="9" xfId="0" applyNumberFormat="1" applyFont="1" applyBorder="1" applyAlignment="1">
      <alignment horizontal="center"/>
    </xf>
    <xf numFmtId="0" fontId="25" fillId="0" borderId="6" xfId="0" applyFont="1" applyBorder="1"/>
    <xf numFmtId="49" fontId="25" fillId="0" borderId="5" xfId="1" applyNumberFormat="1" applyFont="1" applyBorder="1" applyAlignment="1">
      <alignment horizontal="center" vertical="center"/>
    </xf>
    <xf numFmtId="165" fontId="25" fillId="0" borderId="5" xfId="1" applyNumberFormat="1" applyFont="1" applyBorder="1"/>
    <xf numFmtId="0" fontId="28" fillId="0" borderId="0" xfId="0" applyFont="1"/>
    <xf numFmtId="0" fontId="25" fillId="0" borderId="6" xfId="0" applyFont="1" applyBorder="1" applyAlignment="1">
      <alignment horizontal="center" vertical="center"/>
    </xf>
    <xf numFmtId="3" fontId="25" fillId="0" borderId="6" xfId="0" applyNumberFormat="1" applyFont="1" applyBorder="1"/>
    <xf numFmtId="165" fontId="25" fillId="0" borderId="6" xfId="1" applyNumberFormat="1" applyFont="1" applyBorder="1"/>
    <xf numFmtId="165" fontId="25" fillId="0" borderId="6" xfId="1" applyNumberFormat="1" applyFont="1" applyBorder="1" applyAlignment="1">
      <alignment horizontal="center" vertical="center"/>
    </xf>
    <xf numFmtId="169" fontId="25" fillId="0" borderId="6" xfId="1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/>
    </xf>
    <xf numFmtId="3" fontId="25" fillId="0" borderId="14" xfId="0" applyNumberFormat="1" applyFont="1" applyBorder="1"/>
    <xf numFmtId="0" fontId="25" fillId="0" borderId="6" xfId="0" applyFont="1" applyBorder="1" applyAlignment="1">
      <alignment horizontal="center"/>
    </xf>
    <xf numFmtId="0" fontId="25" fillId="0" borderId="3" xfId="0" applyFont="1" applyBorder="1" applyAlignment="1">
      <alignment vertical="center"/>
    </xf>
    <xf numFmtId="0" fontId="25" fillId="0" borderId="18" xfId="0" applyFont="1" applyBorder="1"/>
    <xf numFmtId="0" fontId="25" fillId="0" borderId="3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23" xfId="0" applyFont="1" applyBorder="1"/>
    <xf numFmtId="165" fontId="25" fillId="0" borderId="7" xfId="1" applyNumberFormat="1" applyFont="1" applyBorder="1"/>
    <xf numFmtId="0" fontId="25" fillId="0" borderId="3" xfId="0" applyFont="1" applyBorder="1" applyAlignment="1">
      <alignment horizontal="center" vertical="center" wrapText="1"/>
    </xf>
    <xf numFmtId="14" fontId="25" fillId="0" borderId="3" xfId="0" applyNumberFormat="1" applyFont="1" applyBorder="1" applyAlignment="1">
      <alignment horizontal="center" vertical="center" wrapText="1"/>
    </xf>
    <xf numFmtId="0" fontId="25" fillId="0" borderId="2" xfId="0" applyFont="1" applyBorder="1"/>
    <xf numFmtId="49" fontId="25" fillId="0" borderId="3" xfId="0" applyNumberFormat="1" applyFont="1" applyBorder="1" applyAlignment="1">
      <alignment horizontal="center"/>
    </xf>
    <xf numFmtId="49" fontId="25" fillId="0" borderId="3" xfId="1" applyNumberFormat="1" applyFont="1" applyBorder="1" applyAlignment="1">
      <alignment horizontal="center"/>
    </xf>
    <xf numFmtId="0" fontId="25" fillId="0" borderId="3" xfId="0" applyFont="1" applyBorder="1"/>
    <xf numFmtId="165" fontId="25" fillId="0" borderId="3" xfId="1" applyNumberFormat="1" applyFont="1" applyBorder="1"/>
    <xf numFmtId="165" fontId="28" fillId="0" borderId="0" xfId="1" applyNumberFormat="1" applyFont="1"/>
    <xf numFmtId="49" fontId="25" fillId="0" borderId="14" xfId="0" applyNumberFormat="1" applyFont="1" applyBorder="1" applyAlignment="1">
      <alignment horizontal="center"/>
    </xf>
    <xf numFmtId="49" fontId="25" fillId="0" borderId="6" xfId="1" applyNumberFormat="1" applyFont="1" applyBorder="1" applyAlignment="1">
      <alignment horizontal="center" vertical="center"/>
    </xf>
    <xf numFmtId="0" fontId="25" fillId="0" borderId="7" xfId="0" applyFont="1" applyBorder="1"/>
    <xf numFmtId="49" fontId="25" fillId="0" borderId="7" xfId="1" applyNumberFormat="1" applyFont="1" applyBorder="1" applyAlignment="1">
      <alignment horizontal="center" vertical="center"/>
    </xf>
    <xf numFmtId="49" fontId="25" fillId="0" borderId="7" xfId="1" applyNumberFormat="1" applyFont="1" applyBorder="1"/>
    <xf numFmtId="164" fontId="28" fillId="0" borderId="0" xfId="1" applyFont="1"/>
    <xf numFmtId="49" fontId="22" fillId="0" borderId="3" xfId="0" applyNumberFormat="1" applyFont="1" applyBorder="1" applyAlignment="1">
      <alignment horizontal="center"/>
    </xf>
    <xf numFmtId="0" fontId="22" fillId="0" borderId="3" xfId="0" applyFont="1" applyBorder="1"/>
    <xf numFmtId="3" fontId="22" fillId="0" borderId="3" xfId="0" applyNumberFormat="1" applyFont="1" applyBorder="1"/>
    <xf numFmtId="165" fontId="22" fillId="0" borderId="3" xfId="1" applyNumberFormat="1" applyFont="1" applyBorder="1"/>
    <xf numFmtId="49" fontId="22" fillId="0" borderId="6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3" fontId="22" fillId="0" borderId="6" xfId="0" applyNumberFormat="1" applyFont="1" applyBorder="1"/>
    <xf numFmtId="165" fontId="22" fillId="0" borderId="6" xfId="1" applyNumberFormat="1" applyFont="1" applyBorder="1"/>
    <xf numFmtId="49" fontId="22" fillId="0" borderId="14" xfId="0" applyNumberFormat="1" applyFont="1" applyBorder="1" applyAlignment="1">
      <alignment horizontal="center"/>
    </xf>
    <xf numFmtId="49" fontId="22" fillId="0" borderId="6" xfId="1" applyNumberFormat="1" applyFont="1" applyBorder="1" applyAlignment="1">
      <alignment horizontal="center" vertical="center"/>
    </xf>
    <xf numFmtId="169" fontId="22" fillId="0" borderId="6" xfId="1" applyNumberFormat="1" applyFont="1" applyBorder="1" applyAlignment="1">
      <alignment horizontal="center" vertical="center"/>
    </xf>
    <xf numFmtId="0" fontId="22" fillId="0" borderId="7" xfId="0" applyFont="1" applyBorder="1"/>
    <xf numFmtId="49" fontId="22" fillId="0" borderId="7" xfId="1" applyNumberFormat="1" applyFont="1" applyBorder="1" applyAlignment="1">
      <alignment horizontal="center" vertical="center"/>
    </xf>
    <xf numFmtId="49" fontId="22" fillId="0" borderId="7" xfId="1" applyNumberFormat="1" applyFont="1" applyBorder="1"/>
    <xf numFmtId="165" fontId="22" fillId="0" borderId="7" xfId="1" applyNumberFormat="1" applyFont="1" applyBorder="1"/>
    <xf numFmtId="14" fontId="22" fillId="0" borderId="3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165" fontId="24" fillId="2" borderId="0" xfId="0" applyNumberFormat="1" applyFont="1" applyFill="1"/>
    <xf numFmtId="165" fontId="1" fillId="0" borderId="14" xfId="1" applyNumberFormat="1" applyFont="1" applyBorder="1"/>
    <xf numFmtId="49" fontId="1" fillId="0" borderId="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4" xfId="1" applyNumberFormat="1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/>
    <xf numFmtId="169" fontId="22" fillId="0" borderId="1" xfId="1" applyNumberFormat="1" applyFont="1" applyBorder="1" applyAlignment="1">
      <alignment horizontal="center" vertical="center"/>
    </xf>
    <xf numFmtId="3" fontId="22" fillId="0" borderId="1" xfId="0" applyNumberFormat="1" applyFont="1" applyBorder="1"/>
    <xf numFmtId="165" fontId="22" fillId="0" borderId="1" xfId="1" applyNumberFormat="1" applyFont="1" applyBorder="1"/>
    <xf numFmtId="0" fontId="26" fillId="0" borderId="7" xfId="0" applyFont="1" applyBorder="1"/>
    <xf numFmtId="49" fontId="26" fillId="0" borderId="7" xfId="1" applyNumberFormat="1" applyFont="1" applyBorder="1"/>
    <xf numFmtId="165" fontId="29" fillId="0" borderId="7" xfId="1" applyNumberFormat="1" applyFont="1" applyBorder="1"/>
    <xf numFmtId="169" fontId="1" fillId="0" borderId="6" xfId="1" applyNumberFormat="1" applyFont="1" applyBorder="1" applyAlignment="1">
      <alignment horizontal="center"/>
    </xf>
    <xf numFmtId="164" fontId="24" fillId="0" borderId="0" xfId="1" applyFont="1"/>
    <xf numFmtId="49" fontId="12" fillId="0" borderId="3" xfId="1" applyNumberFormat="1" applyFont="1" applyBorder="1" applyAlignment="1">
      <alignment horizontal="center"/>
    </xf>
    <xf numFmtId="3" fontId="12" fillId="0" borderId="3" xfId="0" applyNumberFormat="1" applyFont="1" applyBorder="1"/>
    <xf numFmtId="3" fontId="12" fillId="0" borderId="2" xfId="0" applyNumberFormat="1" applyFont="1" applyBorder="1"/>
    <xf numFmtId="49" fontId="12" fillId="0" borderId="6" xfId="1" applyNumberFormat="1" applyFont="1" applyBorder="1" applyAlignment="1">
      <alignment horizontal="center"/>
    </xf>
    <xf numFmtId="165" fontId="1" fillId="0" borderId="6" xfId="1" applyNumberFormat="1" applyFont="1" applyBorder="1" applyAlignment="1"/>
    <xf numFmtId="0" fontId="14" fillId="0" borderId="6" xfId="0" applyFont="1" applyBorder="1" applyAlignment="1">
      <alignment horizontal="center" wrapText="1"/>
    </xf>
    <xf numFmtId="49" fontId="12" fillId="0" borderId="7" xfId="1" applyNumberFormat="1" applyFont="1" applyBorder="1" applyAlignment="1">
      <alignment horizontal="center"/>
    </xf>
    <xf numFmtId="49" fontId="26" fillId="0" borderId="1" xfId="1" applyNumberFormat="1" applyFont="1" applyBorder="1" applyAlignment="1">
      <alignment horizontal="center"/>
    </xf>
    <xf numFmtId="169" fontId="12" fillId="0" borderId="6" xfId="1" applyNumberFormat="1" applyFont="1" applyBorder="1" applyAlignment="1">
      <alignment horizontal="center"/>
    </xf>
    <xf numFmtId="49" fontId="1" fillId="0" borderId="7" xfId="1" applyNumberFormat="1" applyFont="1" applyBorder="1" applyAlignment="1">
      <alignment horizontal="center"/>
    </xf>
    <xf numFmtId="49" fontId="22" fillId="0" borderId="7" xfId="1" applyNumberFormat="1" applyFont="1" applyBorder="1" applyAlignment="1">
      <alignment horizontal="center"/>
    </xf>
    <xf numFmtId="169" fontId="22" fillId="0" borderId="1" xfId="1" applyNumberFormat="1" applyFont="1" applyBorder="1" applyAlignment="1">
      <alignment horizontal="center"/>
    </xf>
    <xf numFmtId="169" fontId="22" fillId="0" borderId="6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26" fillId="0" borderId="7" xfId="1" applyNumberFormat="1" applyFont="1" applyBorder="1" applyAlignment="1">
      <alignment horizontal="center"/>
    </xf>
    <xf numFmtId="0" fontId="30" fillId="2" borderId="0" xfId="0" applyFont="1" applyFill="1"/>
    <xf numFmtId="0" fontId="22" fillId="0" borderId="3" xfId="0" applyFont="1" applyBorder="1" applyAlignment="1">
      <alignment vertical="center"/>
    </xf>
    <xf numFmtId="0" fontId="26" fillId="0" borderId="3" xfId="0" applyFont="1" applyBorder="1"/>
    <xf numFmtId="0" fontId="26" fillId="0" borderId="14" xfId="0" applyFont="1" applyBorder="1"/>
    <xf numFmtId="49" fontId="26" fillId="0" borderId="3" xfId="1" applyNumberFormat="1" applyFont="1" applyBorder="1" applyAlignment="1">
      <alignment horizontal="center"/>
    </xf>
    <xf numFmtId="49" fontId="26" fillId="0" borderId="3" xfId="1" applyNumberFormat="1" applyFont="1" applyBorder="1"/>
    <xf numFmtId="165" fontId="26" fillId="0" borderId="3" xfId="1" applyNumberFormat="1" applyFont="1" applyBorder="1"/>
    <xf numFmtId="0" fontId="29" fillId="0" borderId="1" xfId="0" applyFont="1" applyBorder="1" applyAlignment="1">
      <alignment vertical="center"/>
    </xf>
    <xf numFmtId="49" fontId="19" fillId="0" borderId="7" xfId="1" applyNumberFormat="1" applyFont="1" applyBorder="1" applyAlignment="1">
      <alignment horizontal="center"/>
    </xf>
    <xf numFmtId="165" fontId="19" fillId="0" borderId="1" xfId="1" applyNumberFormat="1" applyFont="1" applyBorder="1"/>
    <xf numFmtId="49" fontId="22" fillId="0" borderId="5" xfId="0" applyNumberFormat="1" applyFont="1" applyBorder="1"/>
    <xf numFmtId="165" fontId="22" fillId="0" borderId="5" xfId="1" applyNumberFormat="1" applyFont="1" applyBorder="1"/>
    <xf numFmtId="0" fontId="22" fillId="0" borderId="9" xfId="0" applyFont="1" applyBorder="1"/>
    <xf numFmtId="0" fontId="22" fillId="0" borderId="16" xfId="0" applyFont="1" applyBorder="1" applyAlignment="1">
      <alignment horizontal="center"/>
    </xf>
    <xf numFmtId="171" fontId="22" fillId="0" borderId="6" xfId="0" applyNumberFormat="1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3" fontId="22" fillId="0" borderId="5" xfId="0" applyNumberFormat="1" applyFont="1" applyBorder="1"/>
    <xf numFmtId="0" fontId="22" fillId="0" borderId="17" xfId="0" applyFont="1" applyBorder="1"/>
    <xf numFmtId="0" fontId="22" fillId="0" borderId="9" xfId="0" applyFont="1" applyBorder="1" applyAlignment="1">
      <alignment horizontal="center"/>
    </xf>
    <xf numFmtId="0" fontId="29" fillId="0" borderId="2" xfId="0" applyFont="1" applyBorder="1"/>
    <xf numFmtId="0" fontId="29" fillId="0" borderId="2" xfId="0" applyFont="1" applyBorder="1" applyAlignment="1">
      <alignment horizontal="center"/>
    </xf>
    <xf numFmtId="0" fontId="29" fillId="0" borderId="3" xfId="0" applyFont="1" applyBorder="1"/>
    <xf numFmtId="169" fontId="29" fillId="0" borderId="1" xfId="1" applyNumberFormat="1" applyFont="1" applyBorder="1" applyAlignment="1">
      <alignment horizontal="center"/>
    </xf>
    <xf numFmtId="3" fontId="29" fillId="0" borderId="2" xfId="0" applyNumberFormat="1" applyFont="1" applyBorder="1"/>
    <xf numFmtId="165" fontId="29" fillId="0" borderId="2" xfId="1" applyNumberFormat="1" applyFont="1" applyBorder="1"/>
    <xf numFmtId="14" fontId="22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14" fontId="12" fillId="0" borderId="2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4" fontId="25" fillId="0" borderId="3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</cellXfs>
  <cellStyles count="8">
    <cellStyle name="Comma" xfId="1" builtinId="3"/>
    <cellStyle name="Comma 2" xfId="4" xr:uid="{E8F88A43-1A7C-4FA7-B7E0-3F74EBC44583}"/>
    <cellStyle name="Comma 3" xfId="7" xr:uid="{53BF0BEE-1707-42F1-BDF0-8B468A394C3A}"/>
    <cellStyle name="Comma 4" xfId="6" xr:uid="{4FE210F7-C60D-4A02-9A41-2357F20F6065}"/>
    <cellStyle name="Comma 5" xfId="3" xr:uid="{C4969DDC-215D-45B6-A040-E45C8DA8996B}"/>
    <cellStyle name="Normal" xfId="0" builtinId="0"/>
    <cellStyle name="Normal 2" xfId="5" xr:uid="{418165E4-1A00-40FC-BACE-94DF9A41D36A}"/>
    <cellStyle name="Normal 3" xfId="2" xr:uid="{4B92E9C6-F959-4EC2-9349-2E8F1D3D17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894E-32BF-4534-8A54-263BB4D6E262}">
  <dimension ref="A1:Q428"/>
  <sheetViews>
    <sheetView topLeftCell="A52" zoomScaleNormal="100" workbookViewId="0">
      <selection activeCell="I56" sqref="I56"/>
    </sheetView>
  </sheetViews>
  <sheetFormatPr defaultRowHeight="13.8"/>
  <cols>
    <col min="1" max="1" width="5.796875" customWidth="1"/>
    <col min="2" max="2" width="24.59765625" customWidth="1"/>
    <col min="3" max="3" width="8.8984375" style="19" customWidth="1"/>
    <col min="4" max="4" width="6.796875" customWidth="1"/>
    <col min="5" max="5" width="7.8984375" style="19" customWidth="1"/>
    <col min="6" max="6" width="4.8984375" customWidth="1"/>
    <col min="7" max="7" width="10.09765625" customWidth="1"/>
    <col min="8" max="8" width="13.296875" customWidth="1"/>
    <col min="9" max="9" width="43" customWidth="1"/>
    <col min="10" max="10" width="10.296875" bestFit="1" customWidth="1"/>
  </cols>
  <sheetData>
    <row r="1" spans="1:17" ht="15.6">
      <c r="A1" s="3" t="s">
        <v>0</v>
      </c>
      <c r="B1" s="3"/>
    </row>
    <row r="2" spans="1:17" s="38" customFormat="1" ht="16.8" customHeight="1">
      <c r="A2" s="231" t="s">
        <v>159</v>
      </c>
      <c r="B2" s="231"/>
      <c r="C2" s="231"/>
      <c r="D2" s="231"/>
      <c r="E2" s="231"/>
      <c r="F2" s="231"/>
      <c r="G2" s="231"/>
      <c r="H2" s="231"/>
      <c r="I2" s="95">
        <f>1996200/15</f>
        <v>133080</v>
      </c>
    </row>
    <row r="3" spans="1:17" s="38" customFormat="1" ht="16.2" customHeight="1">
      <c r="A3" s="37"/>
      <c r="B3" s="232" t="s">
        <v>186</v>
      </c>
      <c r="C3" s="232"/>
      <c r="D3" s="232"/>
      <c r="E3" s="232"/>
      <c r="F3" s="232"/>
      <c r="G3" s="232"/>
      <c r="H3" s="232"/>
    </row>
    <row r="4" spans="1:17" s="45" customFormat="1" ht="15" customHeight="1">
      <c r="A4" s="233" t="s">
        <v>187</v>
      </c>
      <c r="B4" s="107" t="s">
        <v>7</v>
      </c>
      <c r="C4" s="40">
        <f>E4/D4</f>
        <v>0.12149122807017544</v>
      </c>
      <c r="D4" s="110">
        <v>228</v>
      </c>
      <c r="E4" s="80">
        <v>27.7</v>
      </c>
      <c r="F4" s="41" t="s">
        <v>1</v>
      </c>
      <c r="G4" s="192">
        <v>21000</v>
      </c>
      <c r="H4" s="43">
        <f>E4*G4</f>
        <v>581700</v>
      </c>
      <c r="I4" s="96" t="e">
        <f>#REF!-#REF!</f>
        <v>#REF!</v>
      </c>
    </row>
    <row r="5" spans="1:17" s="45" customFormat="1" ht="15" customHeight="1">
      <c r="A5" s="234"/>
      <c r="B5" s="22" t="s">
        <v>4</v>
      </c>
      <c r="C5" s="22">
        <f>E5/D5</f>
        <v>7.0175438596491224E-2</v>
      </c>
      <c r="D5" s="110">
        <v>228</v>
      </c>
      <c r="E5" s="85">
        <v>16</v>
      </c>
      <c r="F5" s="22" t="s">
        <v>1</v>
      </c>
      <c r="G5" s="47">
        <v>141750</v>
      </c>
      <c r="H5" s="48">
        <f>E5*G5</f>
        <v>2268000</v>
      </c>
      <c r="I5" s="50">
        <f>I6*17000</f>
        <v>0</v>
      </c>
    </row>
    <row r="6" spans="1:17" s="45" customFormat="1" ht="15" customHeight="1">
      <c r="A6" s="234"/>
      <c r="B6" s="22" t="s">
        <v>26</v>
      </c>
      <c r="C6" s="22">
        <f t="shared" ref="C6:C7" si="0">E6/D6</f>
        <v>3.0701754385964912E-3</v>
      </c>
      <c r="D6" s="86">
        <v>228</v>
      </c>
      <c r="E6" s="193" t="s">
        <v>27</v>
      </c>
      <c r="F6" s="22" t="s">
        <v>1</v>
      </c>
      <c r="G6" s="47">
        <v>304500</v>
      </c>
      <c r="H6" s="48">
        <f t="shared" ref="H6:H10" si="1">E6*G6</f>
        <v>213150</v>
      </c>
    </row>
    <row r="7" spans="1:17" s="45" customFormat="1" ht="15" customHeight="1">
      <c r="A7" s="234"/>
      <c r="B7" s="22" t="s">
        <v>28</v>
      </c>
      <c r="C7" s="22">
        <f t="shared" si="0"/>
        <v>3.2017543859649125E-2</v>
      </c>
      <c r="D7" s="110">
        <v>228</v>
      </c>
      <c r="E7" s="193" t="s">
        <v>71</v>
      </c>
      <c r="F7" s="22" t="s">
        <v>1</v>
      </c>
      <c r="G7" s="47">
        <v>67200</v>
      </c>
      <c r="H7" s="48">
        <f t="shared" si="1"/>
        <v>490560</v>
      </c>
      <c r="I7" s="59"/>
    </row>
    <row r="8" spans="1:17" s="45" customFormat="1" ht="15" customHeight="1">
      <c r="A8" s="234"/>
      <c r="B8" s="22" t="s">
        <v>40</v>
      </c>
      <c r="C8" s="85"/>
      <c r="D8" s="86">
        <v>228</v>
      </c>
      <c r="E8" s="85">
        <v>0.1</v>
      </c>
      <c r="F8" s="22" t="s">
        <v>2</v>
      </c>
      <c r="G8" s="47">
        <v>36750</v>
      </c>
      <c r="H8" s="48">
        <f t="shared" si="1"/>
        <v>3675</v>
      </c>
    </row>
    <row r="9" spans="1:17" s="45" customFormat="1" ht="15" customHeight="1">
      <c r="A9" s="234"/>
      <c r="B9" s="22" t="s">
        <v>101</v>
      </c>
      <c r="C9" s="68"/>
      <c r="D9" s="22"/>
      <c r="E9" s="193" t="s">
        <v>122</v>
      </c>
      <c r="F9" s="22" t="s">
        <v>1</v>
      </c>
      <c r="G9" s="47">
        <v>31500</v>
      </c>
      <c r="H9" s="48">
        <f t="shared" si="1"/>
        <v>166950</v>
      </c>
      <c r="I9" s="51">
        <f>228*17000</f>
        <v>3876000</v>
      </c>
      <c r="K9" s="107" t="s">
        <v>18</v>
      </c>
      <c r="L9" s="93">
        <f>N9/M9</f>
        <v>0.12202643171806167</v>
      </c>
      <c r="M9" s="22">
        <v>227</v>
      </c>
      <c r="N9" s="190" t="s">
        <v>60</v>
      </c>
      <c r="O9" s="82" t="s">
        <v>1</v>
      </c>
      <c r="P9" s="191">
        <v>21000</v>
      </c>
      <c r="Q9" s="83">
        <f>N9*P9</f>
        <v>581700</v>
      </c>
    </row>
    <row r="10" spans="1:17" s="45" customFormat="1" ht="15" customHeight="1">
      <c r="A10" s="234"/>
      <c r="B10" s="22" t="s">
        <v>8</v>
      </c>
      <c r="C10" s="22"/>
      <c r="D10" s="22"/>
      <c r="E10" s="85">
        <v>0.1</v>
      </c>
      <c r="F10" s="22" t="s">
        <v>1</v>
      </c>
      <c r="G10" s="47">
        <v>57750</v>
      </c>
      <c r="H10" s="48">
        <f t="shared" si="1"/>
        <v>5775</v>
      </c>
      <c r="K10" s="82" t="s">
        <v>87</v>
      </c>
      <c r="L10" s="66">
        <f t="shared" ref="L10:L12" si="2">N10/M10</f>
        <v>7.4889867841409691E-2</v>
      </c>
      <c r="M10" s="22">
        <v>227</v>
      </c>
      <c r="N10" s="190" t="s">
        <v>176</v>
      </c>
      <c r="O10" s="22" t="s">
        <v>1</v>
      </c>
      <c r="P10" s="191">
        <v>131250</v>
      </c>
      <c r="Q10" s="48">
        <f>P10*N10</f>
        <v>2231250</v>
      </c>
    </row>
    <row r="11" spans="1:17" s="45" customFormat="1" ht="15" customHeight="1">
      <c r="A11" s="235"/>
      <c r="B11" s="52" t="s">
        <v>20</v>
      </c>
      <c r="C11" s="52"/>
      <c r="D11" s="52"/>
      <c r="E11" s="196"/>
      <c r="F11" s="54"/>
      <c r="G11" s="52"/>
      <c r="H11" s="48">
        <f>144155+2035</f>
        <v>146190</v>
      </c>
      <c r="I11" s="45">
        <v>130426</v>
      </c>
      <c r="K11" s="22" t="s">
        <v>72</v>
      </c>
      <c r="L11" s="66">
        <f t="shared" si="2"/>
        <v>4.4052863436123352E-3</v>
      </c>
      <c r="M11" s="86">
        <v>227</v>
      </c>
      <c r="N11" s="85">
        <v>1</v>
      </c>
      <c r="O11" s="22" t="s">
        <v>2</v>
      </c>
      <c r="P11" s="47">
        <v>141750</v>
      </c>
      <c r="Q11" s="48">
        <f t="shared" ref="Q11" si="3">N11*P11</f>
        <v>141750</v>
      </c>
    </row>
    <row r="12" spans="1:17" s="72" customFormat="1" ht="18.600000000000001" customHeight="1">
      <c r="A12" s="73"/>
      <c r="B12" s="74"/>
      <c r="C12" s="75"/>
      <c r="D12" s="75"/>
      <c r="E12" s="197"/>
      <c r="F12" s="77"/>
      <c r="G12" s="74"/>
      <c r="H12" s="78">
        <f>SUM(H4:H11)</f>
        <v>3876000</v>
      </c>
      <c r="I12" s="97">
        <f>H12-I9</f>
        <v>0</v>
      </c>
      <c r="K12" s="22" t="s">
        <v>5</v>
      </c>
      <c r="L12" s="68">
        <f t="shared" si="2"/>
        <v>0.5506607929515418</v>
      </c>
      <c r="M12" s="86">
        <v>227</v>
      </c>
      <c r="N12" s="193" t="s">
        <v>175</v>
      </c>
      <c r="O12" s="22" t="s">
        <v>163</v>
      </c>
      <c r="P12" s="47">
        <v>3510</v>
      </c>
      <c r="Q12" s="48">
        <f>N12*P12</f>
        <v>438750</v>
      </c>
    </row>
    <row r="13" spans="1:17" s="45" customFormat="1" ht="15" customHeight="1">
      <c r="A13" s="49"/>
      <c r="B13" s="29" t="s">
        <v>7</v>
      </c>
      <c r="C13" s="31">
        <f>E13/D13</f>
        <v>0.12168141592920353</v>
      </c>
      <c r="D13" s="110">
        <v>226</v>
      </c>
      <c r="E13" s="100" t="s">
        <v>75</v>
      </c>
      <c r="F13" s="41" t="s">
        <v>1</v>
      </c>
      <c r="G13" s="65">
        <v>21000</v>
      </c>
      <c r="H13" s="194">
        <f>E13*G13</f>
        <v>577500</v>
      </c>
      <c r="I13" s="45">
        <f>4205303-3893000</f>
        <v>312303</v>
      </c>
      <c r="K13" s="22" t="s">
        <v>172</v>
      </c>
      <c r="L13" s="68"/>
      <c r="M13" s="22"/>
      <c r="N13" s="193" t="s">
        <v>92</v>
      </c>
      <c r="O13" s="22" t="s">
        <v>91</v>
      </c>
      <c r="P13" s="47">
        <v>75600</v>
      </c>
      <c r="Q13" s="48">
        <f>N13*P13</f>
        <v>151200</v>
      </c>
    </row>
    <row r="14" spans="1:17" s="45" customFormat="1" ht="15" customHeight="1">
      <c r="A14" s="234" t="s">
        <v>188</v>
      </c>
      <c r="B14" s="195" t="s">
        <v>62</v>
      </c>
      <c r="C14" s="32">
        <f>E14/D14</f>
        <v>0.10265486725663717</v>
      </c>
      <c r="D14" s="12">
        <v>226</v>
      </c>
      <c r="E14" s="23">
        <v>23.2</v>
      </c>
      <c r="F14" s="12" t="s">
        <v>1</v>
      </c>
      <c r="G14" s="13">
        <v>87150</v>
      </c>
      <c r="H14" s="194">
        <f>E14*G14</f>
        <v>2021880</v>
      </c>
      <c r="K14" s="22" t="s">
        <v>100</v>
      </c>
      <c r="L14" s="68"/>
      <c r="M14" s="22"/>
      <c r="N14" s="193" t="s">
        <v>92</v>
      </c>
      <c r="O14" s="22" t="s">
        <v>2</v>
      </c>
      <c r="P14" s="47">
        <v>44280</v>
      </c>
      <c r="Q14" s="48">
        <f>N14*P14</f>
        <v>88560</v>
      </c>
    </row>
    <row r="15" spans="1:17" s="45" customFormat="1" ht="19.2" customHeight="1">
      <c r="A15" s="234"/>
      <c r="B15" s="22" t="s">
        <v>28</v>
      </c>
      <c r="C15" s="22">
        <f t="shared" ref="C15:C16" si="4">E15/D15</f>
        <v>4.8230088495575224E-2</v>
      </c>
      <c r="D15" s="22">
        <v>226</v>
      </c>
      <c r="E15" s="193" t="s">
        <v>197</v>
      </c>
      <c r="F15" s="22" t="s">
        <v>1</v>
      </c>
      <c r="G15" s="47">
        <v>67200</v>
      </c>
      <c r="H15" s="194">
        <f t="shared" ref="H15:H21" si="5">E15*G15</f>
        <v>732480</v>
      </c>
      <c r="I15" s="51">
        <f>230*17000</f>
        <v>3910000</v>
      </c>
      <c r="K15" s="22" t="s">
        <v>174</v>
      </c>
      <c r="L15" s="68"/>
      <c r="M15" s="22"/>
      <c r="N15" s="193" t="s">
        <v>104</v>
      </c>
      <c r="O15" s="22" t="s">
        <v>2</v>
      </c>
      <c r="P15" s="47">
        <v>24150</v>
      </c>
      <c r="Q15" s="48">
        <f>N15*P15</f>
        <v>123164.99999999999</v>
      </c>
    </row>
    <row r="16" spans="1:17" s="45" customFormat="1" ht="15" customHeight="1">
      <c r="A16" s="234"/>
      <c r="B16" s="22" t="s">
        <v>72</v>
      </c>
      <c r="C16" s="66">
        <f t="shared" si="4"/>
        <v>4.4247787610619468E-3</v>
      </c>
      <c r="D16" s="86">
        <v>226</v>
      </c>
      <c r="E16" s="85">
        <v>1</v>
      </c>
      <c r="F16" s="22" t="s">
        <v>2</v>
      </c>
      <c r="G16" s="47">
        <v>141750</v>
      </c>
      <c r="H16" s="194">
        <f t="shared" si="5"/>
        <v>141750</v>
      </c>
      <c r="K16" s="22" t="s">
        <v>29</v>
      </c>
      <c r="L16" s="66"/>
      <c r="M16" s="22"/>
      <c r="N16" s="193" t="s">
        <v>34</v>
      </c>
      <c r="O16" s="22" t="s">
        <v>2</v>
      </c>
      <c r="P16" s="47">
        <v>36750</v>
      </c>
      <c r="Q16" s="48">
        <f t="shared" ref="Q16:Q17" si="6">N16*P16</f>
        <v>3675</v>
      </c>
    </row>
    <row r="17" spans="1:17" s="45" customFormat="1" ht="15" customHeight="1">
      <c r="A17" s="234"/>
      <c r="B17" s="110" t="s">
        <v>167</v>
      </c>
      <c r="C17" s="164"/>
      <c r="D17" s="110"/>
      <c r="E17" s="102" t="s">
        <v>169</v>
      </c>
      <c r="F17" s="110" t="s">
        <v>2</v>
      </c>
      <c r="G17" s="162">
        <v>25200</v>
      </c>
      <c r="H17" s="194">
        <f t="shared" si="5"/>
        <v>100800</v>
      </c>
      <c r="K17" s="22" t="s">
        <v>8</v>
      </c>
      <c r="L17" s="85"/>
      <c r="M17" s="22"/>
      <c r="N17" s="198">
        <v>0.1</v>
      </c>
      <c r="O17" s="22" t="s">
        <v>1</v>
      </c>
      <c r="P17" s="47">
        <v>57750</v>
      </c>
      <c r="Q17" s="48">
        <f t="shared" si="6"/>
        <v>5775</v>
      </c>
    </row>
    <row r="18" spans="1:17" s="45" customFormat="1" ht="15" customHeight="1">
      <c r="A18" s="234"/>
      <c r="B18" s="110" t="s">
        <v>168</v>
      </c>
      <c r="C18" s="164"/>
      <c r="D18" s="110"/>
      <c r="E18" s="102" t="s">
        <v>45</v>
      </c>
      <c r="F18" s="110" t="s">
        <v>1</v>
      </c>
      <c r="G18" s="162">
        <v>22050</v>
      </c>
      <c r="H18" s="194">
        <f t="shared" si="5"/>
        <v>110250</v>
      </c>
      <c r="K18" s="52" t="s">
        <v>20</v>
      </c>
      <c r="L18" s="52"/>
      <c r="M18" s="52"/>
      <c r="N18" s="196"/>
      <c r="O18" s="54"/>
      <c r="P18" s="52"/>
      <c r="Q18" s="57">
        <f>144155+20</f>
        <v>144175</v>
      </c>
    </row>
    <row r="19" spans="1:17" s="45" customFormat="1" ht="15" customHeight="1">
      <c r="A19" s="234"/>
      <c r="B19" s="110" t="s">
        <v>29</v>
      </c>
      <c r="C19" s="160"/>
      <c r="D19" s="110"/>
      <c r="E19" s="102" t="s">
        <v>34</v>
      </c>
      <c r="F19" s="110" t="s">
        <v>2</v>
      </c>
      <c r="G19" s="47">
        <v>36750</v>
      </c>
      <c r="H19" s="194">
        <f t="shared" si="5"/>
        <v>3675</v>
      </c>
    </row>
    <row r="20" spans="1:17" s="45" customFormat="1" ht="15" customHeight="1">
      <c r="A20" s="234"/>
      <c r="B20" s="110" t="s">
        <v>192</v>
      </c>
      <c r="C20" s="160"/>
      <c r="D20" s="110"/>
      <c r="E20" s="102" t="s">
        <v>34</v>
      </c>
      <c r="F20" s="110" t="s">
        <v>2</v>
      </c>
      <c r="G20" s="47">
        <v>47250</v>
      </c>
      <c r="H20" s="194">
        <f t="shared" ref="H20" si="7">E20*G20</f>
        <v>4725</v>
      </c>
    </row>
    <row r="21" spans="1:17" s="45" customFormat="1" ht="15" customHeight="1">
      <c r="A21" s="234"/>
      <c r="B21" s="110" t="s">
        <v>8</v>
      </c>
      <c r="C21" s="111"/>
      <c r="D21" s="110"/>
      <c r="E21" s="202">
        <v>0.1</v>
      </c>
      <c r="F21" s="110" t="s">
        <v>1</v>
      </c>
      <c r="G21" s="47">
        <v>57750</v>
      </c>
      <c r="H21" s="194">
        <f t="shared" si="5"/>
        <v>5775</v>
      </c>
    </row>
    <row r="22" spans="1:17" s="45" customFormat="1" ht="15" customHeight="1">
      <c r="A22" s="234"/>
      <c r="B22" s="167" t="s">
        <v>20</v>
      </c>
      <c r="C22" s="167"/>
      <c r="D22" s="167"/>
      <c r="E22" s="200"/>
      <c r="F22" s="169"/>
      <c r="G22" s="167"/>
      <c r="H22" s="194">
        <f>144155-1525+535</f>
        <v>143165</v>
      </c>
      <c r="I22" s="50">
        <f>D13*17000</f>
        <v>3842000</v>
      </c>
    </row>
    <row r="23" spans="1:17" s="79" customFormat="1" ht="20.399999999999999" customHeight="1">
      <c r="A23" s="212"/>
      <c r="B23" s="33"/>
      <c r="C23" s="33"/>
      <c r="D23" s="33"/>
      <c r="E23" s="213"/>
      <c r="F23" s="34"/>
      <c r="G23" s="33"/>
      <c r="H23" s="214">
        <f>SUM(H13:H22)</f>
        <v>3842000</v>
      </c>
      <c r="I23" s="97">
        <f>I22-H23</f>
        <v>0</v>
      </c>
    </row>
    <row r="24" spans="1:17" s="58" customFormat="1" ht="20.399999999999999" customHeight="1">
      <c r="A24" s="237" t="s">
        <v>189</v>
      </c>
      <c r="B24" s="107" t="s">
        <v>18</v>
      </c>
      <c r="C24" s="93">
        <f>E24/D24</f>
        <v>0.12202643171806167</v>
      </c>
      <c r="D24" s="22">
        <v>227</v>
      </c>
      <c r="E24" s="190" t="s">
        <v>60</v>
      </c>
      <c r="F24" s="82" t="s">
        <v>1</v>
      </c>
      <c r="G24" s="191">
        <v>21000</v>
      </c>
      <c r="H24" s="83">
        <f>E24*G24</f>
        <v>581700</v>
      </c>
      <c r="I24" s="112"/>
    </row>
    <row r="25" spans="1:17" s="58" customFormat="1" ht="20.399999999999999" customHeight="1">
      <c r="A25" s="238"/>
      <c r="B25" s="82" t="s">
        <v>87</v>
      </c>
      <c r="C25" s="66">
        <f t="shared" ref="C25:C27" si="8">E25/D25</f>
        <v>7.0484581497797363E-2</v>
      </c>
      <c r="D25" s="22">
        <v>227</v>
      </c>
      <c r="E25" s="190" t="s">
        <v>55</v>
      </c>
      <c r="F25" s="22" t="s">
        <v>1</v>
      </c>
      <c r="G25" s="191">
        <v>131250</v>
      </c>
      <c r="H25" s="48">
        <f>G25*E25</f>
        <v>2100000</v>
      </c>
      <c r="I25" s="112"/>
    </row>
    <row r="26" spans="1:17" s="58" customFormat="1" ht="20.399999999999999" customHeight="1">
      <c r="A26" s="238"/>
      <c r="B26" s="22" t="s">
        <v>72</v>
      </c>
      <c r="C26" s="66">
        <f t="shared" si="8"/>
        <v>4.4052863436123352E-3</v>
      </c>
      <c r="D26" s="86">
        <v>227</v>
      </c>
      <c r="E26" s="85">
        <v>1</v>
      </c>
      <c r="F26" s="22" t="s">
        <v>2</v>
      </c>
      <c r="G26" s="47">
        <v>141750</v>
      </c>
      <c r="H26" s="48">
        <f t="shared" ref="H26" si="9">E26*G26</f>
        <v>141750</v>
      </c>
      <c r="I26" s="112"/>
    </row>
    <row r="27" spans="1:17" s="58" customFormat="1" ht="20.399999999999999" customHeight="1">
      <c r="A27" s="238"/>
      <c r="B27" s="22" t="s">
        <v>5</v>
      </c>
      <c r="C27" s="68">
        <f t="shared" si="8"/>
        <v>0.55947136563876654</v>
      </c>
      <c r="D27" s="86">
        <v>227</v>
      </c>
      <c r="E27" s="193" t="s">
        <v>193</v>
      </c>
      <c r="F27" s="22" t="s">
        <v>163</v>
      </c>
      <c r="G27" s="47">
        <v>3510</v>
      </c>
      <c r="H27" s="48">
        <f>E27*G27</f>
        <v>445770</v>
      </c>
      <c r="I27" s="112">
        <f>228*17000</f>
        <v>3876000</v>
      </c>
    </row>
    <row r="28" spans="1:17" s="58" customFormat="1" ht="20.399999999999999" customHeight="1">
      <c r="A28" s="238"/>
      <c r="B28" s="22" t="s">
        <v>172</v>
      </c>
      <c r="C28" s="68"/>
      <c r="D28" s="22"/>
      <c r="E28" s="193" t="s">
        <v>35</v>
      </c>
      <c r="F28" s="22" t="s">
        <v>91</v>
      </c>
      <c r="G28" s="47">
        <v>75600</v>
      </c>
      <c r="H28" s="48">
        <f>E28*G28</f>
        <v>226800</v>
      </c>
      <c r="I28" s="112"/>
    </row>
    <row r="29" spans="1:17" s="58" customFormat="1" ht="20.399999999999999" customHeight="1">
      <c r="A29" s="238"/>
      <c r="B29" s="22" t="s">
        <v>100</v>
      </c>
      <c r="C29" s="68"/>
      <c r="D29" s="22"/>
      <c r="E29" s="193" t="s">
        <v>92</v>
      </c>
      <c r="F29" s="22" t="s">
        <v>2</v>
      </c>
      <c r="G29" s="47">
        <v>44280</v>
      </c>
      <c r="H29" s="48">
        <f>E29*G29</f>
        <v>88560</v>
      </c>
      <c r="I29" s="112"/>
    </row>
    <row r="30" spans="1:17" s="58" customFormat="1" ht="20.399999999999999" customHeight="1">
      <c r="A30" s="238"/>
      <c r="B30" s="22" t="s">
        <v>174</v>
      </c>
      <c r="C30" s="68"/>
      <c r="D30" s="22"/>
      <c r="E30" s="193" t="s">
        <v>45</v>
      </c>
      <c r="F30" s="22" t="s">
        <v>2</v>
      </c>
      <c r="G30" s="47">
        <v>24150</v>
      </c>
      <c r="H30" s="48">
        <f>E30*G30</f>
        <v>120750</v>
      </c>
      <c r="I30" s="112">
        <f>H33-I27</f>
        <v>-3731780</v>
      </c>
    </row>
    <row r="31" spans="1:17" s="58" customFormat="1" ht="20.399999999999999" customHeight="1">
      <c r="A31" s="238"/>
      <c r="B31" s="22" t="s">
        <v>29</v>
      </c>
      <c r="C31" s="66"/>
      <c r="D31" s="22"/>
      <c r="E31" s="193" t="s">
        <v>34</v>
      </c>
      <c r="F31" s="22" t="s">
        <v>2</v>
      </c>
      <c r="G31" s="47">
        <v>36750</v>
      </c>
      <c r="H31" s="48">
        <f t="shared" ref="H31:H32" si="10">E31*G31</f>
        <v>3675</v>
      </c>
      <c r="I31" s="112"/>
    </row>
    <row r="32" spans="1:17" s="58" customFormat="1" ht="20.399999999999999" customHeight="1">
      <c r="A32" s="239"/>
      <c r="B32" s="22" t="s">
        <v>8</v>
      </c>
      <c r="C32" s="85"/>
      <c r="D32" s="22"/>
      <c r="E32" s="198">
        <v>0.1</v>
      </c>
      <c r="F32" s="22" t="s">
        <v>1</v>
      </c>
      <c r="G32" s="47">
        <v>57750</v>
      </c>
      <c r="H32" s="48">
        <f t="shared" si="10"/>
        <v>5775</v>
      </c>
      <c r="I32" s="112"/>
    </row>
    <row r="33" spans="1:9" s="58" customFormat="1" ht="20.399999999999999" customHeight="1">
      <c r="A33" s="113"/>
      <c r="B33" s="52" t="s">
        <v>20</v>
      </c>
      <c r="C33" s="52"/>
      <c r="D33" s="52"/>
      <c r="E33" s="196"/>
      <c r="F33" s="54"/>
      <c r="G33" s="52"/>
      <c r="H33" s="57">
        <f>144155+65</f>
        <v>144220</v>
      </c>
      <c r="I33" s="112">
        <f>D24*17000</f>
        <v>3859000</v>
      </c>
    </row>
    <row r="34" spans="1:9" s="79" customFormat="1" ht="20.399999999999999" customHeight="1">
      <c r="A34" s="212"/>
      <c r="B34" s="207"/>
      <c r="C34" s="207"/>
      <c r="D34" s="208"/>
      <c r="E34" s="209"/>
      <c r="F34" s="210"/>
      <c r="G34" s="207"/>
      <c r="H34" s="211">
        <f>SUM(H24:H33)</f>
        <v>3859000</v>
      </c>
      <c r="I34" s="97">
        <f>H34-I33</f>
        <v>0</v>
      </c>
    </row>
    <row r="35" spans="1:9" s="58" customFormat="1" ht="20.399999999999999" customHeight="1">
      <c r="A35" s="236"/>
      <c r="B35" s="39" t="s">
        <v>7</v>
      </c>
      <c r="C35" s="215">
        <f>E35/D35</f>
        <v>0.12168141592920353</v>
      </c>
      <c r="D35" s="22">
        <v>226</v>
      </c>
      <c r="E35" s="98">
        <v>27.5</v>
      </c>
      <c r="F35" s="109" t="s">
        <v>1</v>
      </c>
      <c r="G35" s="42">
        <v>21000</v>
      </c>
      <c r="H35" s="216">
        <f>E35*G35</f>
        <v>577500</v>
      </c>
      <c r="I35" s="112"/>
    </row>
    <row r="36" spans="1:9" s="58" customFormat="1" ht="20.399999999999999" customHeight="1">
      <c r="A36" s="236"/>
      <c r="B36" s="110" t="s">
        <v>30</v>
      </c>
      <c r="C36" s="110">
        <f>E36/D36</f>
        <v>5.6194690265486721E-2</v>
      </c>
      <c r="D36" s="22">
        <v>226</v>
      </c>
      <c r="E36" s="111">
        <v>12.7</v>
      </c>
      <c r="F36" s="110" t="s">
        <v>1</v>
      </c>
      <c r="G36" s="162">
        <v>169560</v>
      </c>
      <c r="H36" s="163">
        <f>E36*G36</f>
        <v>2153412</v>
      </c>
      <c r="I36" s="112"/>
    </row>
    <row r="37" spans="1:9" s="58" customFormat="1" ht="20.399999999999999" customHeight="1">
      <c r="A37" s="236"/>
      <c r="B37" s="110" t="s">
        <v>31</v>
      </c>
      <c r="C37" s="110">
        <f t="shared" ref="C37:C39" si="11">E37/D37</f>
        <v>0.55309734513274333</v>
      </c>
      <c r="D37" s="86">
        <v>226</v>
      </c>
      <c r="E37" s="111">
        <v>125</v>
      </c>
      <c r="F37" s="110" t="s">
        <v>1</v>
      </c>
      <c r="G37" s="162">
        <v>3456</v>
      </c>
      <c r="H37" s="163">
        <f t="shared" ref="H37:H43" si="12">E37*G37</f>
        <v>432000</v>
      </c>
      <c r="I37" s="112"/>
    </row>
    <row r="38" spans="1:9" s="58" customFormat="1" ht="20.399999999999999" customHeight="1">
      <c r="A38" s="230" t="s">
        <v>190</v>
      </c>
      <c r="B38" s="110" t="s">
        <v>32</v>
      </c>
      <c r="C38" s="110">
        <f t="shared" si="11"/>
        <v>2.2123893805309734E-2</v>
      </c>
      <c r="D38" s="86">
        <v>226</v>
      </c>
      <c r="E38" s="111">
        <v>5</v>
      </c>
      <c r="F38" s="110" t="s">
        <v>1</v>
      </c>
      <c r="G38" s="162">
        <v>25200</v>
      </c>
      <c r="H38" s="163">
        <f t="shared" si="12"/>
        <v>126000</v>
      </c>
      <c r="I38" s="112" t="s">
        <v>196</v>
      </c>
    </row>
    <row r="39" spans="1:9" s="58" customFormat="1" ht="20.399999999999999" customHeight="1">
      <c r="A39" s="230"/>
      <c r="B39" s="110" t="s">
        <v>47</v>
      </c>
      <c r="C39" s="160">
        <f t="shared" si="11"/>
        <v>1.3274336283185841E-2</v>
      </c>
      <c r="D39" s="86">
        <v>226</v>
      </c>
      <c r="E39" s="111">
        <v>3</v>
      </c>
      <c r="F39" s="110" t="s">
        <v>2</v>
      </c>
      <c r="G39" s="162">
        <v>78750</v>
      </c>
      <c r="H39" s="163">
        <f t="shared" si="12"/>
        <v>236250</v>
      </c>
      <c r="I39" s="112"/>
    </row>
    <row r="40" spans="1:9" s="58" customFormat="1" ht="20.399999999999999" customHeight="1">
      <c r="A40" s="230"/>
      <c r="B40" s="110" t="s">
        <v>40</v>
      </c>
      <c r="C40" s="111"/>
      <c r="D40" s="110"/>
      <c r="E40" s="111">
        <v>0.1</v>
      </c>
      <c r="F40" s="110" t="s">
        <v>2</v>
      </c>
      <c r="G40" s="162">
        <v>36750</v>
      </c>
      <c r="H40" s="163">
        <f t="shared" si="12"/>
        <v>3675</v>
      </c>
      <c r="I40" s="112"/>
    </row>
    <row r="41" spans="1:9" s="58" customFormat="1" ht="20.399999999999999" customHeight="1">
      <c r="A41" s="230"/>
      <c r="B41" s="217" t="s">
        <v>194</v>
      </c>
      <c r="C41" s="111"/>
      <c r="D41" s="218"/>
      <c r="E41" s="219">
        <v>8.4</v>
      </c>
      <c r="F41" s="110" t="s">
        <v>1</v>
      </c>
      <c r="G41" s="162">
        <v>18900</v>
      </c>
      <c r="H41" s="163">
        <f t="shared" si="12"/>
        <v>158760</v>
      </c>
      <c r="I41" s="112"/>
    </row>
    <row r="42" spans="1:9" s="58" customFormat="1" ht="20.399999999999999" customHeight="1">
      <c r="A42" s="171"/>
      <c r="B42" s="217" t="s">
        <v>195</v>
      </c>
      <c r="C42" s="111"/>
      <c r="D42" s="218"/>
      <c r="E42" s="219">
        <v>0.1</v>
      </c>
      <c r="F42" s="110" t="s">
        <v>2</v>
      </c>
      <c r="G42" s="162">
        <v>42000</v>
      </c>
      <c r="H42" s="163">
        <f t="shared" si="12"/>
        <v>4200</v>
      </c>
      <c r="I42" s="112"/>
    </row>
    <row r="43" spans="1:9" s="58" customFormat="1" ht="20.399999999999999" customHeight="1">
      <c r="A43" s="206"/>
      <c r="B43" s="110" t="s">
        <v>8</v>
      </c>
      <c r="C43" s="110"/>
      <c r="D43" s="110"/>
      <c r="E43" s="111">
        <v>0.1</v>
      </c>
      <c r="F43" s="110" t="s">
        <v>1</v>
      </c>
      <c r="G43" s="162">
        <v>57750</v>
      </c>
      <c r="H43" s="163">
        <f t="shared" si="12"/>
        <v>5775</v>
      </c>
      <c r="I43" s="112"/>
    </row>
    <row r="44" spans="1:9" s="58" customFormat="1" ht="20.399999999999999" customHeight="1">
      <c r="A44" s="206"/>
      <c r="B44" s="167" t="s">
        <v>20</v>
      </c>
      <c r="C44" s="167"/>
      <c r="D44" s="167"/>
      <c r="E44" s="168"/>
      <c r="F44" s="169"/>
      <c r="G44" s="167"/>
      <c r="H44" s="170">
        <f>144155+491+218</f>
        <v>144864</v>
      </c>
      <c r="I44" s="112">
        <f>D35*17000</f>
        <v>3842000</v>
      </c>
    </row>
    <row r="45" spans="1:9" s="79" customFormat="1" ht="20.399999999999999" customHeight="1">
      <c r="A45" s="212"/>
      <c r="B45" s="224"/>
      <c r="C45" s="225"/>
      <c r="D45" s="226"/>
      <c r="E45" s="227"/>
      <c r="F45" s="224"/>
      <c r="G45" s="228"/>
      <c r="H45" s="229">
        <f>SUM(H35:H44)</f>
        <v>3842436</v>
      </c>
      <c r="I45" s="97">
        <f>H45-I44</f>
        <v>436</v>
      </c>
    </row>
    <row r="46" spans="1:9" s="58" customFormat="1" ht="15" customHeight="1">
      <c r="A46" s="230" t="s">
        <v>191</v>
      </c>
      <c r="B46" s="109" t="s">
        <v>18</v>
      </c>
      <c r="C46" s="220">
        <f>E46/D46</f>
        <v>0.12168141592920353</v>
      </c>
      <c r="D46" s="22">
        <v>226</v>
      </c>
      <c r="E46" s="100" t="s">
        <v>75</v>
      </c>
      <c r="F46" s="109" t="s">
        <v>1</v>
      </c>
      <c r="G46" s="221">
        <v>21000</v>
      </c>
      <c r="H46" s="216">
        <f>E46*G46</f>
        <v>577500</v>
      </c>
      <c r="I46" s="175"/>
    </row>
    <row r="47" spans="1:9" s="58" customFormat="1" ht="24.6" customHeight="1">
      <c r="A47" s="230"/>
      <c r="B47" s="110" t="s">
        <v>52</v>
      </c>
      <c r="C47" s="160">
        <f t="shared" ref="C47:C51" si="13">E47/D47</f>
        <v>6.2831858407079638E-2</v>
      </c>
      <c r="D47" s="22">
        <v>226</v>
      </c>
      <c r="E47" s="111">
        <v>14.2</v>
      </c>
      <c r="F47" s="110" t="s">
        <v>1</v>
      </c>
      <c r="G47" s="162">
        <v>140700</v>
      </c>
      <c r="H47" s="163">
        <f>E47*G47-1892</f>
        <v>1996048</v>
      </c>
    </row>
    <row r="48" spans="1:9" s="58" customFormat="1" ht="15" customHeight="1">
      <c r="A48" s="230"/>
      <c r="B48" s="110" t="s">
        <v>152</v>
      </c>
      <c r="C48" s="164">
        <f t="shared" si="13"/>
        <v>3.5398230088495575E-2</v>
      </c>
      <c r="D48" s="86">
        <v>226</v>
      </c>
      <c r="E48" s="105" t="s">
        <v>19</v>
      </c>
      <c r="F48" s="110" t="s">
        <v>1</v>
      </c>
      <c r="G48" s="162">
        <v>81900</v>
      </c>
      <c r="H48" s="163">
        <f>E48*G48</f>
        <v>655200</v>
      </c>
    </row>
    <row r="49" spans="1:9" s="58" customFormat="1" ht="15" customHeight="1">
      <c r="A49" s="230"/>
      <c r="B49" s="110" t="s">
        <v>33</v>
      </c>
      <c r="C49" s="164">
        <f t="shared" si="13"/>
        <v>4.4247787610619468E-3</v>
      </c>
      <c r="D49" s="86">
        <v>226</v>
      </c>
      <c r="E49" s="102" t="s">
        <v>21</v>
      </c>
      <c r="F49" s="110" t="s">
        <v>1</v>
      </c>
      <c r="G49" s="162">
        <v>173250</v>
      </c>
      <c r="H49" s="163">
        <f t="shared" ref="H49:H54" si="14">E49*G49</f>
        <v>173250</v>
      </c>
    </row>
    <row r="50" spans="1:9" s="58" customFormat="1" ht="15" customHeight="1">
      <c r="A50" s="171"/>
      <c r="B50" s="22" t="s">
        <v>172</v>
      </c>
      <c r="C50" s="68">
        <f t="shared" si="13"/>
        <v>8.8495575221238937E-3</v>
      </c>
      <c r="D50" s="22">
        <v>226</v>
      </c>
      <c r="E50" s="193" t="s">
        <v>92</v>
      </c>
      <c r="F50" s="22" t="s">
        <v>91</v>
      </c>
      <c r="G50" s="47">
        <v>75600</v>
      </c>
      <c r="H50" s="48">
        <f>E50*G50</f>
        <v>151200</v>
      </c>
    </row>
    <row r="51" spans="1:9" s="58" customFormat="1" ht="15" customHeight="1">
      <c r="A51" s="171"/>
      <c r="B51" s="110" t="s">
        <v>153</v>
      </c>
      <c r="C51" s="164">
        <f t="shared" si="13"/>
        <v>1.3274336283185841E-2</v>
      </c>
      <c r="D51" s="86">
        <v>226</v>
      </c>
      <c r="E51" s="102" t="s">
        <v>35</v>
      </c>
      <c r="F51" s="110" t="s">
        <v>2</v>
      </c>
      <c r="G51" s="162">
        <v>23100</v>
      </c>
      <c r="H51" s="163">
        <f t="shared" si="14"/>
        <v>69300</v>
      </c>
    </row>
    <row r="52" spans="1:9" s="58" customFormat="1" ht="15" customHeight="1">
      <c r="A52" s="171"/>
      <c r="B52" s="110" t="s">
        <v>154</v>
      </c>
      <c r="C52" s="156"/>
      <c r="D52" s="222"/>
      <c r="E52" s="102" t="s">
        <v>92</v>
      </c>
      <c r="F52" s="110" t="s">
        <v>2</v>
      </c>
      <c r="G52" s="162">
        <v>31500</v>
      </c>
      <c r="H52" s="163">
        <f t="shared" si="14"/>
        <v>63000</v>
      </c>
    </row>
    <row r="53" spans="1:9" s="58" customFormat="1" ht="15" customHeight="1">
      <c r="A53" s="171"/>
      <c r="B53" s="110" t="s">
        <v>44</v>
      </c>
      <c r="C53" s="223"/>
      <c r="D53" s="110"/>
      <c r="E53" s="102" t="s">
        <v>34</v>
      </c>
      <c r="F53" s="110" t="s">
        <v>1</v>
      </c>
      <c r="G53" s="162">
        <v>60900</v>
      </c>
      <c r="H53" s="163">
        <f t="shared" si="14"/>
        <v>6090</v>
      </c>
    </row>
    <row r="54" spans="1:9" s="58" customFormat="1" ht="15" customHeight="1">
      <c r="A54" s="171"/>
      <c r="B54" s="110" t="s">
        <v>51</v>
      </c>
      <c r="C54" s="167"/>
      <c r="D54" s="110"/>
      <c r="E54" s="102" t="s">
        <v>34</v>
      </c>
      <c r="F54" s="110" t="s">
        <v>1</v>
      </c>
      <c r="G54" s="162">
        <v>42000</v>
      </c>
      <c r="H54" s="163">
        <f t="shared" si="14"/>
        <v>4200</v>
      </c>
    </row>
    <row r="55" spans="1:9" s="58" customFormat="1" ht="15" customHeight="1">
      <c r="A55" s="171"/>
      <c r="B55" s="167" t="s">
        <v>20</v>
      </c>
      <c r="C55" s="167"/>
      <c r="D55" s="167"/>
      <c r="E55" s="200"/>
      <c r="F55" s="169"/>
      <c r="G55" s="167"/>
      <c r="H55" s="170">
        <f>144155+787+1270</f>
        <v>146212</v>
      </c>
    </row>
    <row r="56" spans="1:9" s="79" customFormat="1" ht="19.8" customHeight="1">
      <c r="A56" s="117"/>
      <c r="B56" s="94"/>
      <c r="C56" s="94"/>
      <c r="D56" s="94"/>
      <c r="E56" s="103"/>
      <c r="F56" s="119"/>
      <c r="G56" s="94"/>
      <c r="H56" s="120">
        <f>SUM(H46:H55)</f>
        <v>3842000</v>
      </c>
      <c r="I56" s="97">
        <f>D47*17000</f>
        <v>3842000</v>
      </c>
    </row>
    <row r="57" spans="1:9">
      <c r="A57" s="35"/>
      <c r="B57" s="35"/>
      <c r="C57" s="35"/>
      <c r="D57" s="35"/>
      <c r="E57" s="203"/>
      <c r="I57" s="17">
        <f>H56-I56</f>
        <v>0</v>
      </c>
    </row>
    <row r="58" spans="1:9" ht="18">
      <c r="A58" s="231" t="s">
        <v>22</v>
      </c>
      <c r="B58" s="231"/>
      <c r="C58" s="231" t="s">
        <v>23</v>
      </c>
      <c r="D58" s="231"/>
      <c r="E58" s="231"/>
      <c r="F58" s="1"/>
      <c r="G58" s="231" t="s">
        <v>24</v>
      </c>
      <c r="H58" s="231"/>
    </row>
    <row r="59" spans="1:9" ht="18">
      <c r="A59" s="18"/>
      <c r="B59" s="18"/>
      <c r="C59" s="18"/>
      <c r="D59" s="18"/>
      <c r="E59" s="18"/>
      <c r="F59" s="1"/>
      <c r="G59" s="18"/>
      <c r="H59" s="18"/>
    </row>
    <row r="60" spans="1:9" ht="18">
      <c r="A60" s="18"/>
      <c r="B60" s="18"/>
      <c r="C60" s="18"/>
      <c r="D60" s="18"/>
      <c r="E60" s="18"/>
      <c r="F60" s="1"/>
      <c r="G60" s="18"/>
      <c r="H60" s="18"/>
    </row>
    <row r="61" spans="1:9" ht="18">
      <c r="A61" s="18"/>
      <c r="B61" s="18"/>
      <c r="C61" s="18"/>
      <c r="D61" s="18"/>
      <c r="E61" s="18"/>
      <c r="F61" s="1"/>
      <c r="G61" s="18"/>
      <c r="H61" s="18"/>
    </row>
    <row r="62" spans="1:9" ht="18">
      <c r="A62" s="18"/>
      <c r="B62" s="18"/>
      <c r="C62" s="18"/>
      <c r="D62" s="18"/>
      <c r="E62" s="18"/>
      <c r="F62" s="1"/>
      <c r="G62" s="18"/>
      <c r="H62" s="18"/>
    </row>
    <row r="63" spans="1:9" ht="18">
      <c r="A63" s="18"/>
      <c r="B63" s="18"/>
      <c r="C63" s="18"/>
      <c r="D63" s="18"/>
      <c r="E63" s="18"/>
      <c r="F63" s="1"/>
      <c r="G63" s="18"/>
      <c r="H63" s="18"/>
    </row>
    <row r="64" spans="1:9" ht="18">
      <c r="A64" s="18"/>
      <c r="B64" s="18"/>
      <c r="C64" s="18"/>
      <c r="D64" s="18"/>
      <c r="E64" s="18"/>
      <c r="F64" s="1"/>
      <c r="G64" s="18"/>
      <c r="H64" s="18"/>
    </row>
    <row r="65" spans="1:9" ht="15.6">
      <c r="A65" s="3" t="s">
        <v>0</v>
      </c>
      <c r="B65" s="3"/>
    </row>
    <row r="66" spans="1:9" s="38" customFormat="1" ht="16.8" customHeight="1">
      <c r="A66" s="231" t="s">
        <v>159</v>
      </c>
      <c r="B66" s="231"/>
      <c r="C66" s="231"/>
      <c r="D66" s="231"/>
      <c r="E66" s="231"/>
      <c r="F66" s="231"/>
      <c r="G66" s="231"/>
      <c r="H66" s="231"/>
      <c r="I66" s="95">
        <f>1996200/15</f>
        <v>133080</v>
      </c>
    </row>
    <row r="67" spans="1:9" s="38" customFormat="1" ht="16.2" customHeight="1">
      <c r="A67" s="37"/>
      <c r="B67" s="232" t="s">
        <v>170</v>
      </c>
      <c r="C67" s="232"/>
      <c r="D67" s="232"/>
      <c r="E67" s="232"/>
      <c r="F67" s="232"/>
      <c r="G67" s="232"/>
      <c r="H67" s="232"/>
    </row>
    <row r="68" spans="1:9" s="45" customFormat="1" ht="15" customHeight="1">
      <c r="A68" s="233" t="s">
        <v>173</v>
      </c>
      <c r="B68" s="107" t="s">
        <v>7</v>
      </c>
      <c r="C68" s="40">
        <f>E68/D68</f>
        <v>0.12043478260869565</v>
      </c>
      <c r="D68" s="22">
        <v>230</v>
      </c>
      <c r="E68" s="80">
        <v>27.7</v>
      </c>
      <c r="F68" s="41" t="s">
        <v>1</v>
      </c>
      <c r="G68" s="192">
        <v>21000</v>
      </c>
      <c r="H68" s="43">
        <f>E68*G68</f>
        <v>581700</v>
      </c>
      <c r="I68" s="96" t="e">
        <f>#REF!-#REF!</f>
        <v>#REF!</v>
      </c>
    </row>
    <row r="69" spans="1:9" s="45" customFormat="1" ht="15" customHeight="1">
      <c r="A69" s="234"/>
      <c r="B69" s="22" t="s">
        <v>4</v>
      </c>
      <c r="C69" s="22">
        <f>E69/D69</f>
        <v>7.0434782608695651E-2</v>
      </c>
      <c r="D69" s="22">
        <v>230</v>
      </c>
      <c r="E69" s="85">
        <v>16.2</v>
      </c>
      <c r="F69" s="22" t="s">
        <v>1</v>
      </c>
      <c r="G69" s="47">
        <v>141750</v>
      </c>
      <c r="H69" s="48">
        <f>E69*G69</f>
        <v>2296350</v>
      </c>
      <c r="I69" s="50">
        <f>230*17000</f>
        <v>3910000</v>
      </c>
    </row>
    <row r="70" spans="1:9" s="45" customFormat="1" ht="15" customHeight="1">
      <c r="A70" s="234"/>
      <c r="B70" s="22" t="s">
        <v>26</v>
      </c>
      <c r="C70" s="22">
        <f t="shared" ref="C70:C71" si="15">E70/D70</f>
        <v>3.0434782608695652E-3</v>
      </c>
      <c r="D70" s="22">
        <v>230</v>
      </c>
      <c r="E70" s="193" t="s">
        <v>27</v>
      </c>
      <c r="F70" s="22" t="s">
        <v>1</v>
      </c>
      <c r="G70" s="47">
        <v>304500</v>
      </c>
      <c r="H70" s="48">
        <f t="shared" ref="H70:H74" si="16">E70*G70</f>
        <v>213150</v>
      </c>
    </row>
    <row r="71" spans="1:9" s="45" customFormat="1" ht="15" customHeight="1">
      <c r="A71" s="234"/>
      <c r="B71" s="22" t="s">
        <v>28</v>
      </c>
      <c r="C71" s="22">
        <f t="shared" si="15"/>
        <v>3.2173913043478261E-2</v>
      </c>
      <c r="D71" s="22">
        <v>230</v>
      </c>
      <c r="E71" s="193" t="s">
        <v>65</v>
      </c>
      <c r="F71" s="22" t="s">
        <v>1</v>
      </c>
      <c r="G71" s="47">
        <v>67200</v>
      </c>
      <c r="H71" s="48">
        <f t="shared" si="16"/>
        <v>497280</v>
      </c>
      <c r="I71" s="59">
        <f>I69-H76</f>
        <v>0</v>
      </c>
    </row>
    <row r="72" spans="1:9" s="45" customFormat="1" ht="15" customHeight="1">
      <c r="A72" s="234"/>
      <c r="B72" s="22" t="s">
        <v>40</v>
      </c>
      <c r="C72" s="85"/>
      <c r="D72" s="22"/>
      <c r="E72" s="85">
        <v>0.1</v>
      </c>
      <c r="F72" s="22" t="s">
        <v>2</v>
      </c>
      <c r="G72" s="47">
        <v>36750</v>
      </c>
      <c r="H72" s="48">
        <f t="shared" si="16"/>
        <v>3675</v>
      </c>
    </row>
    <row r="73" spans="1:9" s="45" customFormat="1" ht="15" customHeight="1">
      <c r="A73" s="234"/>
      <c r="B73" s="22" t="s">
        <v>101</v>
      </c>
      <c r="C73" s="68"/>
      <c r="D73" s="22"/>
      <c r="E73" s="193" t="s">
        <v>122</v>
      </c>
      <c r="F73" s="22" t="s">
        <v>1</v>
      </c>
      <c r="G73" s="47">
        <v>31500</v>
      </c>
      <c r="H73" s="48">
        <f t="shared" si="16"/>
        <v>166950</v>
      </c>
    </row>
    <row r="74" spans="1:9" s="45" customFormat="1" ht="15" customHeight="1">
      <c r="A74" s="234"/>
      <c r="B74" s="22" t="s">
        <v>8</v>
      </c>
      <c r="C74" s="22"/>
      <c r="D74" s="22"/>
      <c r="E74" s="85">
        <v>0.1</v>
      </c>
      <c r="F74" s="22" t="s">
        <v>1</v>
      </c>
      <c r="G74" s="47">
        <v>57750</v>
      </c>
      <c r="H74" s="48">
        <f t="shared" si="16"/>
        <v>5775</v>
      </c>
    </row>
    <row r="75" spans="1:9" s="45" customFormat="1" ht="15" customHeight="1">
      <c r="A75" s="235"/>
      <c r="B75" s="52" t="s">
        <v>20</v>
      </c>
      <c r="C75" s="52"/>
      <c r="D75" s="52"/>
      <c r="E75" s="196"/>
      <c r="F75" s="54"/>
      <c r="G75" s="52"/>
      <c r="H75" s="48">
        <f>144155+965</f>
        <v>145120</v>
      </c>
      <c r="I75" s="45">
        <v>130426</v>
      </c>
    </row>
    <row r="76" spans="1:9" s="72" customFormat="1" ht="18.600000000000001" customHeight="1">
      <c r="A76" s="73"/>
      <c r="B76" s="74"/>
      <c r="C76" s="75"/>
      <c r="D76" s="75"/>
      <c r="E76" s="197"/>
      <c r="F76" s="77"/>
      <c r="G76" s="74"/>
      <c r="H76" s="78">
        <f>SUM(H68:H75)</f>
        <v>3910000</v>
      </c>
      <c r="I76" s="97">
        <f>H76-I69</f>
        <v>0</v>
      </c>
    </row>
    <row r="77" spans="1:9" s="45" customFormat="1" ht="15" customHeight="1">
      <c r="A77" s="49"/>
      <c r="B77" s="107" t="s">
        <v>18</v>
      </c>
      <c r="C77" s="93">
        <f>E77/D77</f>
        <v>0.12043478260869565</v>
      </c>
      <c r="D77" s="22">
        <v>230</v>
      </c>
      <c r="E77" s="190" t="s">
        <v>60</v>
      </c>
      <c r="F77" s="82" t="s">
        <v>1</v>
      </c>
      <c r="G77" s="191">
        <v>21000</v>
      </c>
      <c r="H77" s="83">
        <f>E77*G77</f>
        <v>581700</v>
      </c>
      <c r="I77" s="45">
        <f>4205303-3893000</f>
        <v>312303</v>
      </c>
    </row>
    <row r="78" spans="1:9" s="45" customFormat="1" ht="15" customHeight="1">
      <c r="A78" s="234" t="s">
        <v>171</v>
      </c>
      <c r="B78" s="82" t="s">
        <v>87</v>
      </c>
      <c r="C78" s="66">
        <f t="shared" ref="C78:C80" si="17">E78/D78</f>
        <v>7.3913043478260873E-2</v>
      </c>
      <c r="D78" s="22">
        <v>230</v>
      </c>
      <c r="E78" s="190" t="s">
        <v>176</v>
      </c>
      <c r="F78" s="22" t="s">
        <v>1</v>
      </c>
      <c r="G78" s="191">
        <v>131250</v>
      </c>
      <c r="H78" s="48">
        <f>G78*E78</f>
        <v>2231250</v>
      </c>
    </row>
    <row r="79" spans="1:9" s="45" customFormat="1" ht="19.2" customHeight="1">
      <c r="A79" s="234"/>
      <c r="B79" s="22" t="s">
        <v>72</v>
      </c>
      <c r="C79" s="66">
        <f t="shared" si="17"/>
        <v>4.3478260869565218E-3</v>
      </c>
      <c r="D79" s="86">
        <v>230</v>
      </c>
      <c r="E79" s="85">
        <v>1</v>
      </c>
      <c r="F79" s="22" t="s">
        <v>2</v>
      </c>
      <c r="G79" s="47">
        <v>141750</v>
      </c>
      <c r="H79" s="48">
        <f t="shared" ref="H79" si="18">E79*G79</f>
        <v>141750</v>
      </c>
      <c r="I79" s="51">
        <f>230*17000</f>
        <v>3910000</v>
      </c>
    </row>
    <row r="80" spans="1:9" s="45" customFormat="1" ht="15" customHeight="1">
      <c r="A80" s="234"/>
      <c r="B80" s="22" t="s">
        <v>5</v>
      </c>
      <c r="C80" s="68">
        <f t="shared" si="17"/>
        <v>0.54347826086956519</v>
      </c>
      <c r="D80" s="86">
        <v>230</v>
      </c>
      <c r="E80" s="193" t="s">
        <v>175</v>
      </c>
      <c r="F80" s="22" t="s">
        <v>163</v>
      </c>
      <c r="G80" s="47">
        <v>3510</v>
      </c>
      <c r="H80" s="48">
        <f>E80*G80</f>
        <v>438750</v>
      </c>
    </row>
    <row r="81" spans="1:9" s="45" customFormat="1" ht="15" customHeight="1">
      <c r="A81" s="234"/>
      <c r="B81" s="22" t="s">
        <v>172</v>
      </c>
      <c r="C81" s="68"/>
      <c r="D81" s="22"/>
      <c r="E81" s="193" t="s">
        <v>92</v>
      </c>
      <c r="F81" s="22" t="s">
        <v>91</v>
      </c>
      <c r="G81" s="47">
        <v>75600</v>
      </c>
      <c r="H81" s="48">
        <f>E81*G81</f>
        <v>151200</v>
      </c>
    </row>
    <row r="82" spans="1:9" s="45" customFormat="1" ht="15" customHeight="1">
      <c r="A82" s="234"/>
      <c r="B82" s="22" t="s">
        <v>100</v>
      </c>
      <c r="C82" s="68"/>
      <c r="D82" s="22"/>
      <c r="E82" s="193" t="s">
        <v>92</v>
      </c>
      <c r="F82" s="22" t="s">
        <v>2</v>
      </c>
      <c r="G82" s="47">
        <v>44280</v>
      </c>
      <c r="H82" s="48">
        <f>E82*G82</f>
        <v>88560</v>
      </c>
    </row>
    <row r="83" spans="1:9" s="45" customFormat="1" ht="15" customHeight="1">
      <c r="A83" s="234"/>
      <c r="B83" s="22" t="s">
        <v>174</v>
      </c>
      <c r="C83" s="68"/>
      <c r="D83" s="22"/>
      <c r="E83" s="193" t="s">
        <v>104</v>
      </c>
      <c r="F83" s="22" t="s">
        <v>2</v>
      </c>
      <c r="G83" s="47">
        <v>24150</v>
      </c>
      <c r="H83" s="48">
        <f>E83*G83</f>
        <v>123164.99999999999</v>
      </c>
    </row>
    <row r="84" spans="1:9" s="45" customFormat="1" ht="15" customHeight="1">
      <c r="A84" s="234"/>
      <c r="B84" s="22" t="s">
        <v>29</v>
      </c>
      <c r="C84" s="66"/>
      <c r="D84" s="22"/>
      <c r="E84" s="193" t="s">
        <v>34</v>
      </c>
      <c r="F84" s="22" t="s">
        <v>2</v>
      </c>
      <c r="G84" s="47">
        <v>36750</v>
      </c>
      <c r="H84" s="48">
        <f t="shared" ref="H84:H85" si="19">E84*G84</f>
        <v>3675</v>
      </c>
    </row>
    <row r="85" spans="1:9" s="45" customFormat="1" ht="15" customHeight="1">
      <c r="A85" s="234"/>
      <c r="B85" s="22" t="s">
        <v>8</v>
      </c>
      <c r="C85" s="85"/>
      <c r="D85" s="22"/>
      <c r="E85" s="198">
        <v>0.1</v>
      </c>
      <c r="F85" s="22" t="s">
        <v>1</v>
      </c>
      <c r="G85" s="47">
        <v>57750</v>
      </c>
      <c r="H85" s="48">
        <f t="shared" si="19"/>
        <v>5775</v>
      </c>
      <c r="I85" s="50">
        <f>230*17000</f>
        <v>3910000</v>
      </c>
    </row>
    <row r="86" spans="1:9" s="45" customFormat="1" ht="15" customHeight="1">
      <c r="A86" s="234"/>
      <c r="B86" s="52" t="s">
        <v>20</v>
      </c>
      <c r="C86" s="52"/>
      <c r="D86" s="52"/>
      <c r="E86" s="196"/>
      <c r="F86" s="54"/>
      <c r="G86" s="52"/>
      <c r="H86" s="57">
        <f>144155+20</f>
        <v>144175</v>
      </c>
    </row>
    <row r="87" spans="1:9" s="58" customFormat="1" ht="20.399999999999999" customHeight="1">
      <c r="A87" s="113"/>
      <c r="B87" s="15"/>
      <c r="C87" s="15"/>
      <c r="D87" s="15"/>
      <c r="E87" s="199"/>
      <c r="F87" s="16"/>
      <c r="G87" s="15"/>
      <c r="H87" s="2">
        <f>SUM(H77:H86)</f>
        <v>3910000</v>
      </c>
      <c r="I87" s="112">
        <f>I85-H87</f>
        <v>0</v>
      </c>
    </row>
    <row r="88" spans="1:9" s="58" customFormat="1" ht="20.399999999999999" customHeight="1">
      <c r="A88" s="237" t="s">
        <v>177</v>
      </c>
      <c r="B88" s="29" t="s">
        <v>7</v>
      </c>
      <c r="C88" s="31">
        <f>E88/D88</f>
        <v>0.12196261682242991</v>
      </c>
      <c r="D88" s="110">
        <v>214</v>
      </c>
      <c r="E88" s="100" t="s">
        <v>182</v>
      </c>
      <c r="F88" s="41" t="s">
        <v>1</v>
      </c>
      <c r="G88" s="65">
        <v>21000</v>
      </c>
      <c r="H88" s="194">
        <f>E88*G88</f>
        <v>548100</v>
      </c>
      <c r="I88" s="112"/>
    </row>
    <row r="89" spans="1:9" s="58" customFormat="1" ht="20.399999999999999" customHeight="1">
      <c r="A89" s="238"/>
      <c r="B89" s="195" t="s">
        <v>62</v>
      </c>
      <c r="C89" s="32">
        <f>E89/D89</f>
        <v>0.10280373831775701</v>
      </c>
      <c r="D89" s="12">
        <v>214</v>
      </c>
      <c r="E89" s="23">
        <v>22</v>
      </c>
      <c r="F89" s="12" t="s">
        <v>1</v>
      </c>
      <c r="G89" s="13">
        <v>87150</v>
      </c>
      <c r="H89" s="194">
        <f>E89*G89</f>
        <v>1917300</v>
      </c>
      <c r="I89" s="112"/>
    </row>
    <row r="90" spans="1:9" s="58" customFormat="1" ht="20.399999999999999" customHeight="1">
      <c r="A90" s="238"/>
      <c r="B90" s="22" t="s">
        <v>28</v>
      </c>
      <c r="C90" s="22">
        <f t="shared" ref="C90:C91" si="20">E90/D90</f>
        <v>4.6261682242990654E-2</v>
      </c>
      <c r="D90" s="22">
        <v>214</v>
      </c>
      <c r="E90" s="193" t="s">
        <v>183</v>
      </c>
      <c r="F90" s="22" t="s">
        <v>1</v>
      </c>
      <c r="G90" s="47">
        <v>67200</v>
      </c>
      <c r="H90" s="194">
        <f t="shared" ref="H90:H95" si="21">E90*G90</f>
        <v>665280</v>
      </c>
      <c r="I90" s="112"/>
    </row>
    <row r="91" spans="1:9" s="58" customFormat="1" ht="20.399999999999999" customHeight="1">
      <c r="A91" s="238"/>
      <c r="B91" s="22" t="s">
        <v>72</v>
      </c>
      <c r="C91" s="66">
        <f t="shared" si="20"/>
        <v>4.6728971962616819E-3</v>
      </c>
      <c r="D91" s="86">
        <v>214</v>
      </c>
      <c r="E91" s="85">
        <v>1</v>
      </c>
      <c r="F91" s="22" t="s">
        <v>2</v>
      </c>
      <c r="G91" s="47">
        <v>141750</v>
      </c>
      <c r="H91" s="194">
        <f t="shared" si="21"/>
        <v>141750</v>
      </c>
      <c r="I91" s="112">
        <f>214*17000</f>
        <v>3638000</v>
      </c>
    </row>
    <row r="92" spans="1:9" s="58" customFormat="1" ht="20.399999999999999" customHeight="1">
      <c r="A92" s="238"/>
      <c r="B92" s="110" t="s">
        <v>167</v>
      </c>
      <c r="C92" s="164"/>
      <c r="D92" s="110">
        <v>214</v>
      </c>
      <c r="E92" s="102" t="s">
        <v>169</v>
      </c>
      <c r="F92" s="110" t="s">
        <v>2</v>
      </c>
      <c r="G92" s="162">
        <v>25200</v>
      </c>
      <c r="H92" s="194">
        <f t="shared" si="21"/>
        <v>100800</v>
      </c>
      <c r="I92" s="112"/>
    </row>
    <row r="93" spans="1:9" s="58" customFormat="1" ht="20.399999999999999" customHeight="1">
      <c r="A93" s="238"/>
      <c r="B93" s="110" t="s">
        <v>168</v>
      </c>
      <c r="C93" s="164"/>
      <c r="D93" s="110"/>
      <c r="E93" s="102" t="s">
        <v>45</v>
      </c>
      <c r="F93" s="110" t="s">
        <v>1</v>
      </c>
      <c r="G93" s="162">
        <v>22050</v>
      </c>
      <c r="H93" s="194">
        <f t="shared" si="21"/>
        <v>110250</v>
      </c>
      <c r="I93" s="112"/>
    </row>
    <row r="94" spans="1:9" s="58" customFormat="1" ht="20.399999999999999" customHeight="1">
      <c r="A94" s="238"/>
      <c r="B94" s="110" t="s">
        <v>29</v>
      </c>
      <c r="C94" s="160"/>
      <c r="D94" s="110"/>
      <c r="E94" s="102" t="s">
        <v>34</v>
      </c>
      <c r="F94" s="110" t="s">
        <v>2</v>
      </c>
      <c r="G94" s="47">
        <v>36750</v>
      </c>
      <c r="H94" s="194">
        <f t="shared" si="21"/>
        <v>3675</v>
      </c>
      <c r="I94" s="112">
        <f>H97-I91</f>
        <v>0</v>
      </c>
    </row>
    <row r="95" spans="1:9" s="58" customFormat="1" ht="20.399999999999999" customHeight="1">
      <c r="A95" s="238"/>
      <c r="B95" s="110" t="s">
        <v>8</v>
      </c>
      <c r="C95" s="111"/>
      <c r="D95" s="110"/>
      <c r="E95" s="202">
        <v>0.1</v>
      </c>
      <c r="F95" s="110" t="s">
        <v>1</v>
      </c>
      <c r="G95" s="47">
        <v>57750</v>
      </c>
      <c r="H95" s="194">
        <f t="shared" si="21"/>
        <v>5775</v>
      </c>
      <c r="I95" s="112"/>
    </row>
    <row r="96" spans="1:9" s="58" customFormat="1" ht="20.399999999999999" customHeight="1">
      <c r="A96" s="180"/>
      <c r="B96" s="167" t="s">
        <v>20</v>
      </c>
      <c r="C96" s="167"/>
      <c r="D96" s="167"/>
      <c r="E96" s="200"/>
      <c r="F96" s="169"/>
      <c r="G96" s="167"/>
      <c r="H96" s="194">
        <f>144155+915</f>
        <v>145070</v>
      </c>
      <c r="I96" s="112"/>
    </row>
    <row r="97" spans="1:9" s="58" customFormat="1" ht="20.399999999999999" customHeight="1">
      <c r="A97" s="113"/>
      <c r="B97" s="181"/>
      <c r="C97" s="115"/>
      <c r="D97" s="181"/>
      <c r="E97" s="201"/>
      <c r="F97" s="181"/>
      <c r="G97" s="183"/>
      <c r="H97" s="184">
        <f>SUM(H88:H96)</f>
        <v>3638000</v>
      </c>
      <c r="I97" s="112">
        <f>H97-I91</f>
        <v>0</v>
      </c>
    </row>
    <row r="98" spans="1:9" s="58" customFormat="1" ht="15" customHeight="1">
      <c r="A98" s="230" t="s">
        <v>178</v>
      </c>
      <c r="B98" s="41" t="s">
        <v>18</v>
      </c>
      <c r="C98" s="64">
        <f>E98/D98</f>
        <v>0.1206140350877193</v>
      </c>
      <c r="D98" s="110">
        <v>228</v>
      </c>
      <c r="E98" s="100" t="s">
        <v>75</v>
      </c>
      <c r="F98" s="41" t="s">
        <v>1</v>
      </c>
      <c r="G98" s="65">
        <v>21000</v>
      </c>
      <c r="H98" s="43">
        <f>E98*G98</f>
        <v>577500</v>
      </c>
      <c r="I98" s="175"/>
    </row>
    <row r="99" spans="1:9" s="58" customFormat="1" ht="24.6" customHeight="1">
      <c r="A99" s="230"/>
      <c r="B99" s="22" t="s">
        <v>52</v>
      </c>
      <c r="C99" s="66">
        <f t="shared" ref="C99:C102" si="22">E99/D99</f>
        <v>6.5789473684210523E-2</v>
      </c>
      <c r="D99" s="110">
        <v>228</v>
      </c>
      <c r="E99" s="85">
        <v>15</v>
      </c>
      <c r="F99" s="22" t="s">
        <v>1</v>
      </c>
      <c r="G99" s="47">
        <v>140700</v>
      </c>
      <c r="H99" s="48">
        <f>E99*G99-1892</f>
        <v>2108608</v>
      </c>
    </row>
    <row r="100" spans="1:9" s="58" customFormat="1" ht="15" customHeight="1">
      <c r="A100" s="230"/>
      <c r="B100" s="22" t="s">
        <v>152</v>
      </c>
      <c r="C100" s="68">
        <f t="shared" si="22"/>
        <v>3.9035087719298249E-2</v>
      </c>
      <c r="D100" s="86">
        <v>228</v>
      </c>
      <c r="E100" s="178" t="s">
        <v>185</v>
      </c>
      <c r="F100" s="22" t="s">
        <v>1</v>
      </c>
      <c r="G100" s="47">
        <v>81900</v>
      </c>
      <c r="H100" s="48">
        <f>E100*G100</f>
        <v>728910</v>
      </c>
    </row>
    <row r="101" spans="1:9" s="58" customFormat="1" ht="15" customHeight="1">
      <c r="A101" s="230"/>
      <c r="B101" s="22" t="s">
        <v>33</v>
      </c>
      <c r="C101" s="68">
        <f t="shared" si="22"/>
        <v>4.3859649122807015E-3</v>
      </c>
      <c r="D101" s="110">
        <v>228</v>
      </c>
      <c r="E101" s="193" t="s">
        <v>21</v>
      </c>
      <c r="F101" s="22" t="s">
        <v>1</v>
      </c>
      <c r="G101" s="47">
        <v>173250</v>
      </c>
      <c r="H101" s="48">
        <f t="shared" ref="H101:H105" si="23">E101*G101</f>
        <v>173250</v>
      </c>
    </row>
    <row r="102" spans="1:9" s="58" customFormat="1" ht="15" customHeight="1">
      <c r="A102" s="171"/>
      <c r="B102" s="22" t="s">
        <v>153</v>
      </c>
      <c r="C102" s="68">
        <f t="shared" si="22"/>
        <v>1.3157894736842105E-2</v>
      </c>
      <c r="D102" s="86">
        <v>228</v>
      </c>
      <c r="E102" s="193" t="s">
        <v>35</v>
      </c>
      <c r="F102" s="22" t="s">
        <v>2</v>
      </c>
      <c r="G102" s="47">
        <v>23100</v>
      </c>
      <c r="H102" s="48">
        <f t="shared" si="23"/>
        <v>69300</v>
      </c>
    </row>
    <row r="103" spans="1:9" s="58" customFormat="1" ht="15" customHeight="1">
      <c r="A103" s="171"/>
      <c r="B103" s="22" t="s">
        <v>154</v>
      </c>
      <c r="C103" s="93"/>
      <c r="D103" s="86"/>
      <c r="E103" s="193" t="s">
        <v>92</v>
      </c>
      <c r="F103" s="22" t="s">
        <v>2</v>
      </c>
      <c r="G103" s="47">
        <v>31500</v>
      </c>
      <c r="H103" s="48">
        <f t="shared" si="23"/>
        <v>63000</v>
      </c>
    </row>
    <row r="104" spans="1:9" s="58" customFormat="1" ht="15" customHeight="1">
      <c r="A104" s="171"/>
      <c r="B104" s="22" t="s">
        <v>44</v>
      </c>
      <c r="C104" s="70"/>
      <c r="D104" s="22"/>
      <c r="E104" s="193" t="s">
        <v>34</v>
      </c>
      <c r="F104" s="22" t="s">
        <v>1</v>
      </c>
      <c r="G104" s="47">
        <v>60900</v>
      </c>
      <c r="H104" s="48">
        <f t="shared" si="23"/>
        <v>6090</v>
      </c>
    </row>
    <row r="105" spans="1:9" s="58" customFormat="1" ht="15" customHeight="1">
      <c r="A105" s="171"/>
      <c r="B105" s="22" t="s">
        <v>51</v>
      </c>
      <c r="C105" s="52"/>
      <c r="D105" s="22"/>
      <c r="E105" s="193" t="s">
        <v>34</v>
      </c>
      <c r="F105" s="22" t="s">
        <v>1</v>
      </c>
      <c r="G105" s="47">
        <v>42000</v>
      </c>
      <c r="H105" s="48">
        <f t="shared" si="23"/>
        <v>4200</v>
      </c>
    </row>
    <row r="106" spans="1:9" s="58" customFormat="1" ht="15" customHeight="1">
      <c r="A106" s="171"/>
      <c r="B106" s="167" t="s">
        <v>20</v>
      </c>
      <c r="C106" s="167"/>
      <c r="D106" s="167"/>
      <c r="E106" s="200"/>
      <c r="F106" s="169"/>
      <c r="G106" s="167"/>
      <c r="H106" s="170">
        <f>144155+987</f>
        <v>145142</v>
      </c>
    </row>
    <row r="107" spans="1:9" s="79" customFormat="1" ht="19.8" customHeight="1">
      <c r="A107" s="117"/>
      <c r="B107" s="94"/>
      <c r="C107" s="94"/>
      <c r="D107" s="94"/>
      <c r="E107" s="103"/>
      <c r="F107" s="119"/>
      <c r="G107" s="94"/>
      <c r="H107" s="120">
        <f>SUM(H98:H106)</f>
        <v>3876000</v>
      </c>
      <c r="I107" s="97">
        <f>D99*17000</f>
        <v>3876000</v>
      </c>
    </row>
    <row r="108" spans="1:9">
      <c r="A108" s="35"/>
      <c r="B108" s="35"/>
      <c r="C108" s="35"/>
      <c r="D108" s="35"/>
      <c r="E108" s="203"/>
      <c r="I108" s="17">
        <f>H107-I107</f>
        <v>0</v>
      </c>
    </row>
    <row r="109" spans="1:9" ht="18">
      <c r="A109" s="231" t="s">
        <v>22</v>
      </c>
      <c r="B109" s="231"/>
      <c r="C109" s="231" t="s">
        <v>23</v>
      </c>
      <c r="D109" s="231"/>
      <c r="E109" s="231"/>
      <c r="F109" s="1"/>
      <c r="G109" s="231" t="s">
        <v>24</v>
      </c>
      <c r="H109" s="231"/>
    </row>
    <row r="110" spans="1:9">
      <c r="I110" s="27" t="s">
        <v>179</v>
      </c>
    </row>
    <row r="111" spans="1:9">
      <c r="I111" t="s">
        <v>181</v>
      </c>
    </row>
    <row r="112" spans="1:9">
      <c r="I112" t="s">
        <v>180</v>
      </c>
    </row>
    <row r="113" spans="1:9" ht="20.399999999999999">
      <c r="I113" s="205" t="s">
        <v>184</v>
      </c>
    </row>
    <row r="123" spans="1:9" ht="15.6">
      <c r="A123" s="3" t="s">
        <v>0</v>
      </c>
      <c r="B123" s="3"/>
    </row>
    <row r="124" spans="1:9" s="38" customFormat="1" ht="16.8" customHeight="1">
      <c r="A124" s="231" t="s">
        <v>159</v>
      </c>
      <c r="B124" s="231"/>
      <c r="C124" s="231"/>
      <c r="D124" s="231"/>
      <c r="E124" s="231"/>
      <c r="F124" s="231"/>
      <c r="G124" s="231"/>
      <c r="H124" s="231"/>
      <c r="I124" s="95">
        <f>1996200/15</f>
        <v>133080</v>
      </c>
    </row>
    <row r="125" spans="1:9" s="38" customFormat="1" ht="16.2" customHeight="1">
      <c r="A125" s="37"/>
      <c r="B125" s="232" t="s">
        <v>160</v>
      </c>
      <c r="C125" s="232"/>
      <c r="D125" s="232"/>
      <c r="E125" s="232"/>
      <c r="F125" s="232"/>
      <c r="G125" s="232"/>
      <c r="H125" s="232"/>
    </row>
    <row r="126" spans="1:9" s="45" customFormat="1" ht="15" customHeight="1">
      <c r="A126" s="233" t="s">
        <v>155</v>
      </c>
      <c r="B126" s="107" t="s">
        <v>7</v>
      </c>
      <c r="C126" s="40">
        <f>E126/D126</f>
        <v>0.12043478260869565</v>
      </c>
      <c r="D126" s="22">
        <v>230</v>
      </c>
      <c r="E126" s="80">
        <v>27.7</v>
      </c>
      <c r="F126" s="41" t="s">
        <v>1</v>
      </c>
      <c r="G126" s="192">
        <v>21000</v>
      </c>
      <c r="H126" s="43">
        <f>E126*G126</f>
        <v>581700</v>
      </c>
      <c r="I126" s="96" t="e">
        <f>#REF!-#REF!</f>
        <v>#REF!</v>
      </c>
    </row>
    <row r="127" spans="1:9" s="45" customFormat="1" ht="15" customHeight="1">
      <c r="A127" s="234"/>
      <c r="B127" s="22" t="s">
        <v>4</v>
      </c>
      <c r="C127" s="22">
        <f>E127/D127</f>
        <v>7.0434782608695651E-2</v>
      </c>
      <c r="D127" s="22">
        <v>230</v>
      </c>
      <c r="E127" s="85">
        <v>16.2</v>
      </c>
      <c r="F127" s="22" t="s">
        <v>1</v>
      </c>
      <c r="G127" s="47">
        <v>141750</v>
      </c>
      <c r="H127" s="48">
        <f>E127*G127</f>
        <v>2296350</v>
      </c>
      <c r="I127" s="50">
        <f>230*17000</f>
        <v>3910000</v>
      </c>
    </row>
    <row r="128" spans="1:9" s="45" customFormat="1" ht="15" customHeight="1">
      <c r="A128" s="234"/>
      <c r="B128" s="22" t="s">
        <v>26</v>
      </c>
      <c r="C128" s="22">
        <f t="shared" ref="C128:C129" si="24">E128/D128</f>
        <v>3.0434782608695652E-3</v>
      </c>
      <c r="D128" s="22">
        <v>230</v>
      </c>
      <c r="E128" s="193" t="s">
        <v>27</v>
      </c>
      <c r="F128" s="22" t="s">
        <v>1</v>
      </c>
      <c r="G128" s="47">
        <v>304500</v>
      </c>
      <c r="H128" s="48">
        <f t="shared" ref="H128:H132" si="25">E128*G128</f>
        <v>213150</v>
      </c>
    </row>
    <row r="129" spans="1:9" s="45" customFormat="1" ht="15" customHeight="1">
      <c r="A129" s="234"/>
      <c r="B129" s="22" t="s">
        <v>28</v>
      </c>
      <c r="C129" s="22">
        <f t="shared" si="24"/>
        <v>3.2173913043478261E-2</v>
      </c>
      <c r="D129" s="22">
        <v>230</v>
      </c>
      <c r="E129" s="193" t="s">
        <v>65</v>
      </c>
      <c r="F129" s="22" t="s">
        <v>1</v>
      </c>
      <c r="G129" s="47">
        <v>67200</v>
      </c>
      <c r="H129" s="48">
        <f t="shared" si="25"/>
        <v>497280</v>
      </c>
      <c r="I129" s="59">
        <f>I127-H134</f>
        <v>0</v>
      </c>
    </row>
    <row r="130" spans="1:9" s="45" customFormat="1" ht="15" customHeight="1">
      <c r="A130" s="234"/>
      <c r="B130" s="22" t="s">
        <v>40</v>
      </c>
      <c r="C130" s="85"/>
      <c r="D130" s="22"/>
      <c r="E130" s="85">
        <v>0.1</v>
      </c>
      <c r="F130" s="22" t="s">
        <v>2</v>
      </c>
      <c r="G130" s="47">
        <v>36750</v>
      </c>
      <c r="H130" s="48">
        <f t="shared" si="25"/>
        <v>3675</v>
      </c>
    </row>
    <row r="131" spans="1:9" s="45" customFormat="1" ht="15" customHeight="1">
      <c r="A131" s="234"/>
      <c r="B131" s="22" t="s">
        <v>101</v>
      </c>
      <c r="C131" s="68"/>
      <c r="D131" s="22"/>
      <c r="E131" s="193" t="s">
        <v>122</v>
      </c>
      <c r="F131" s="22" t="s">
        <v>1</v>
      </c>
      <c r="G131" s="47">
        <v>31500</v>
      </c>
      <c r="H131" s="48">
        <f t="shared" si="25"/>
        <v>166950</v>
      </c>
    </row>
    <row r="132" spans="1:9" s="45" customFormat="1" ht="15" customHeight="1">
      <c r="A132" s="234"/>
      <c r="B132" s="22" t="s">
        <v>8</v>
      </c>
      <c r="C132" s="22"/>
      <c r="D132" s="22"/>
      <c r="E132" s="85">
        <v>0.1</v>
      </c>
      <c r="F132" s="22" t="s">
        <v>1</v>
      </c>
      <c r="G132" s="47">
        <v>57750</v>
      </c>
      <c r="H132" s="48">
        <f t="shared" si="25"/>
        <v>5775</v>
      </c>
    </row>
    <row r="133" spans="1:9" s="45" customFormat="1" ht="15" customHeight="1">
      <c r="A133" s="235"/>
      <c r="B133" s="52" t="s">
        <v>20</v>
      </c>
      <c r="C133" s="52"/>
      <c r="D133" s="52"/>
      <c r="E133" s="196"/>
      <c r="F133" s="54"/>
      <c r="G133" s="52"/>
      <c r="H133" s="48">
        <f>144155+965</f>
        <v>145120</v>
      </c>
      <c r="I133" s="45">
        <v>130426</v>
      </c>
    </row>
    <row r="134" spans="1:9" s="72" customFormat="1" ht="18.600000000000001" customHeight="1">
      <c r="A134" s="73"/>
      <c r="B134" s="74"/>
      <c r="C134" s="75"/>
      <c r="D134" s="75"/>
      <c r="E134" s="197"/>
      <c r="F134" s="77"/>
      <c r="G134" s="74"/>
      <c r="H134" s="78">
        <f>SUM(H126:H133)</f>
        <v>3910000</v>
      </c>
      <c r="I134" s="97">
        <f>H134-I127</f>
        <v>0</v>
      </c>
    </row>
    <row r="135" spans="1:9" s="45" customFormat="1" ht="15" customHeight="1">
      <c r="A135" s="49"/>
      <c r="B135" s="107" t="s">
        <v>18</v>
      </c>
      <c r="C135" s="93">
        <f>E135/D135</f>
        <v>0.12043478260869565</v>
      </c>
      <c r="D135" s="22">
        <v>230</v>
      </c>
      <c r="E135" s="190" t="s">
        <v>60</v>
      </c>
      <c r="F135" s="82" t="s">
        <v>1</v>
      </c>
      <c r="G135" s="191">
        <v>21000</v>
      </c>
      <c r="H135" s="83">
        <f>E135*G135</f>
        <v>581700</v>
      </c>
      <c r="I135" s="45">
        <f>4205303-3893000</f>
        <v>312303</v>
      </c>
    </row>
    <row r="136" spans="1:9" s="45" customFormat="1" ht="15" customHeight="1">
      <c r="A136" s="234" t="s">
        <v>156</v>
      </c>
      <c r="B136" s="82" t="s">
        <v>87</v>
      </c>
      <c r="C136" s="66">
        <f t="shared" ref="C136:C138" si="26">E136/D136</f>
        <v>7.5652173913043477E-2</v>
      </c>
      <c r="D136" s="22">
        <v>230</v>
      </c>
      <c r="E136" s="190" t="s">
        <v>151</v>
      </c>
      <c r="F136" s="22" t="s">
        <v>1</v>
      </c>
      <c r="G136" s="191">
        <v>131250</v>
      </c>
      <c r="H136" s="48">
        <f>G136*E136</f>
        <v>2283750</v>
      </c>
    </row>
    <row r="137" spans="1:9" s="45" customFormat="1" ht="19.2" customHeight="1">
      <c r="A137" s="234"/>
      <c r="B137" s="22" t="s">
        <v>72</v>
      </c>
      <c r="C137" s="66">
        <f t="shared" si="26"/>
        <v>4.3478260869565218E-3</v>
      </c>
      <c r="D137" s="86">
        <v>230</v>
      </c>
      <c r="E137" s="85">
        <v>1</v>
      </c>
      <c r="F137" s="22" t="s">
        <v>2</v>
      </c>
      <c r="G137" s="47">
        <v>141750</v>
      </c>
      <c r="H137" s="48">
        <f t="shared" ref="H137" si="27">E137*G137</f>
        <v>141750</v>
      </c>
      <c r="I137" s="51">
        <f>230*17000</f>
        <v>3910000</v>
      </c>
    </row>
    <row r="138" spans="1:9" s="45" customFormat="1" ht="15" customHeight="1">
      <c r="A138" s="234"/>
      <c r="B138" s="22" t="s">
        <v>5</v>
      </c>
      <c r="C138" s="68">
        <f t="shared" si="26"/>
        <v>0.54545454545454541</v>
      </c>
      <c r="D138" s="22">
        <v>220</v>
      </c>
      <c r="E138" s="193" t="s">
        <v>162</v>
      </c>
      <c r="F138" s="22" t="s">
        <v>163</v>
      </c>
      <c r="G138" s="47">
        <v>3510</v>
      </c>
      <c r="H138" s="48">
        <f>E138*G138</f>
        <v>421200</v>
      </c>
    </row>
    <row r="139" spans="1:9" s="45" customFormat="1" ht="15" customHeight="1">
      <c r="A139" s="234"/>
      <c r="B139" s="22" t="s">
        <v>90</v>
      </c>
      <c r="C139" s="68"/>
      <c r="D139" s="22"/>
      <c r="E139" s="193" t="s">
        <v>35</v>
      </c>
      <c r="F139" s="22" t="s">
        <v>91</v>
      </c>
      <c r="G139" s="47">
        <v>37800</v>
      </c>
      <c r="H139" s="48">
        <f>E139*G139</f>
        <v>113400</v>
      </c>
    </row>
    <row r="140" spans="1:9" s="45" customFormat="1" ht="15" customHeight="1">
      <c r="A140" s="234"/>
      <c r="B140" s="22" t="s">
        <v>100</v>
      </c>
      <c r="C140" s="68"/>
      <c r="D140" s="22"/>
      <c r="E140" s="193" t="s">
        <v>21</v>
      </c>
      <c r="F140" s="22" t="s">
        <v>2</v>
      </c>
      <c r="G140" s="47">
        <v>44280</v>
      </c>
      <c r="H140" s="48">
        <f>E140*G140</f>
        <v>44280</v>
      </c>
    </row>
    <row r="141" spans="1:9" s="45" customFormat="1" ht="15" customHeight="1">
      <c r="A141" s="234"/>
      <c r="B141" s="22" t="s">
        <v>161</v>
      </c>
      <c r="C141" s="68"/>
      <c r="D141" s="22"/>
      <c r="E141" s="193" t="s">
        <v>53</v>
      </c>
      <c r="F141" s="22" t="s">
        <v>2</v>
      </c>
      <c r="G141" s="47">
        <v>31500</v>
      </c>
      <c r="H141" s="48">
        <f>E141*G141</f>
        <v>182700</v>
      </c>
    </row>
    <row r="142" spans="1:9" s="45" customFormat="1" ht="15" customHeight="1">
      <c r="A142" s="234"/>
      <c r="B142" s="22" t="s">
        <v>29</v>
      </c>
      <c r="C142" s="66"/>
      <c r="D142" s="22"/>
      <c r="E142" s="193" t="s">
        <v>34</v>
      </c>
      <c r="F142" s="22" t="s">
        <v>2</v>
      </c>
      <c r="G142" s="47">
        <v>36750</v>
      </c>
      <c r="H142" s="48">
        <f t="shared" ref="H142:H143" si="28">E142*G142</f>
        <v>3675</v>
      </c>
    </row>
    <row r="143" spans="1:9" s="45" customFormat="1" ht="15" customHeight="1">
      <c r="A143" s="234"/>
      <c r="B143" s="22" t="s">
        <v>8</v>
      </c>
      <c r="C143" s="85"/>
      <c r="D143" s="22"/>
      <c r="E143" s="198">
        <v>0.1</v>
      </c>
      <c r="F143" s="22" t="s">
        <v>1</v>
      </c>
      <c r="G143" s="47">
        <v>57750</v>
      </c>
      <c r="H143" s="48">
        <f t="shared" si="28"/>
        <v>5775</v>
      </c>
      <c r="I143" s="50">
        <f>230*17000</f>
        <v>3910000</v>
      </c>
    </row>
    <row r="144" spans="1:9" s="45" customFormat="1" ht="15" customHeight="1">
      <c r="A144" s="234"/>
      <c r="B144" s="52" t="s">
        <v>20</v>
      </c>
      <c r="C144" s="52"/>
      <c r="D144" s="52"/>
      <c r="E144" s="196"/>
      <c r="F144" s="54"/>
      <c r="G144" s="52"/>
      <c r="H144" s="57">
        <f>130426+1089+255</f>
        <v>131770</v>
      </c>
    </row>
    <row r="145" spans="1:9" s="58" customFormat="1" ht="20.399999999999999" customHeight="1">
      <c r="A145" s="113"/>
      <c r="B145" s="15"/>
      <c r="C145" s="15"/>
      <c r="D145" s="15"/>
      <c r="E145" s="199"/>
      <c r="F145" s="16"/>
      <c r="G145" s="15"/>
      <c r="H145" s="2">
        <f>SUM(H135:H144)</f>
        <v>3910000</v>
      </c>
      <c r="I145" s="112">
        <f>I143-H145</f>
        <v>0</v>
      </c>
    </row>
    <row r="146" spans="1:9" s="58" customFormat="1" ht="20.399999999999999" customHeight="1">
      <c r="A146" s="237" t="s">
        <v>157</v>
      </c>
      <c r="B146" s="41" t="s">
        <v>18</v>
      </c>
      <c r="C146" s="64">
        <f>E146/D146</f>
        <v>0.12034632034632035</v>
      </c>
      <c r="D146" s="110">
        <v>231</v>
      </c>
      <c r="E146" s="100" t="s">
        <v>56</v>
      </c>
      <c r="F146" s="41" t="s">
        <v>1</v>
      </c>
      <c r="G146" s="65">
        <v>21000</v>
      </c>
      <c r="H146" s="43">
        <f>E146*G146</f>
        <v>583800</v>
      </c>
      <c r="I146" s="112"/>
    </row>
    <row r="147" spans="1:9" s="58" customFormat="1" ht="20.399999999999999" customHeight="1">
      <c r="A147" s="238"/>
      <c r="B147" s="22" t="s">
        <v>52</v>
      </c>
      <c r="C147" s="66">
        <f t="shared" ref="C147:C150" si="29">E147/D147</f>
        <v>6.8398268398268403E-2</v>
      </c>
      <c r="D147" s="110">
        <v>231</v>
      </c>
      <c r="E147" s="85">
        <v>15.8</v>
      </c>
      <c r="F147" s="22" t="s">
        <v>1</v>
      </c>
      <c r="G147" s="47">
        <v>140700</v>
      </c>
      <c r="H147" s="48">
        <f>E147*G147-1892</f>
        <v>2221168</v>
      </c>
      <c r="I147" s="112" t="s">
        <v>165</v>
      </c>
    </row>
    <row r="148" spans="1:9" s="58" customFormat="1" ht="20.399999999999999" customHeight="1">
      <c r="A148" s="238"/>
      <c r="B148" s="22" t="s">
        <v>152</v>
      </c>
      <c r="C148" s="68">
        <f t="shared" si="29"/>
        <v>3.67965367965368E-2</v>
      </c>
      <c r="D148" s="86">
        <v>231</v>
      </c>
      <c r="E148" s="178" t="s">
        <v>164</v>
      </c>
      <c r="F148" s="22" t="s">
        <v>1</v>
      </c>
      <c r="G148" s="47">
        <v>78750</v>
      </c>
      <c r="H148" s="48">
        <f>E148*G148</f>
        <v>669375</v>
      </c>
      <c r="I148" s="112"/>
    </row>
    <row r="149" spans="1:9" s="58" customFormat="1" ht="20.399999999999999" customHeight="1">
      <c r="A149" s="238"/>
      <c r="B149" s="22" t="s">
        <v>33</v>
      </c>
      <c r="C149" s="68">
        <f t="shared" si="29"/>
        <v>4.329004329004329E-3</v>
      </c>
      <c r="D149" s="110">
        <v>231</v>
      </c>
      <c r="E149" s="193" t="s">
        <v>21</v>
      </c>
      <c r="F149" s="22" t="s">
        <v>1</v>
      </c>
      <c r="G149" s="47">
        <v>173250</v>
      </c>
      <c r="H149" s="48">
        <f t="shared" ref="H149:H153" si="30">E149*G149</f>
        <v>173250</v>
      </c>
      <c r="I149" s="112">
        <f>231*17000</f>
        <v>3927000</v>
      </c>
    </row>
    <row r="150" spans="1:9" s="58" customFormat="1" ht="20.399999999999999" customHeight="1">
      <c r="A150" s="238"/>
      <c r="B150" s="22" t="s">
        <v>153</v>
      </c>
      <c r="C150" s="68">
        <f t="shared" si="29"/>
        <v>1.7748917748917747E-2</v>
      </c>
      <c r="D150" s="86">
        <v>231</v>
      </c>
      <c r="E150" s="193" t="s">
        <v>166</v>
      </c>
      <c r="F150" s="22" t="s">
        <v>2</v>
      </c>
      <c r="G150" s="47">
        <v>23100</v>
      </c>
      <c r="H150" s="48">
        <f t="shared" si="30"/>
        <v>94709.999999999985</v>
      </c>
      <c r="I150" s="112"/>
    </row>
    <row r="151" spans="1:9" s="58" customFormat="1" ht="20.399999999999999" customHeight="1">
      <c r="A151" s="238"/>
      <c r="B151" s="22" t="s">
        <v>154</v>
      </c>
      <c r="C151" s="93"/>
      <c r="D151" s="86"/>
      <c r="E151" s="193" t="s">
        <v>21</v>
      </c>
      <c r="F151" s="22" t="s">
        <v>2</v>
      </c>
      <c r="G151" s="47">
        <v>31500</v>
      </c>
      <c r="H151" s="48">
        <f t="shared" si="30"/>
        <v>31500</v>
      </c>
      <c r="I151" s="112"/>
    </row>
    <row r="152" spans="1:9" s="58" customFormat="1" ht="20.399999999999999" customHeight="1">
      <c r="A152" s="238"/>
      <c r="B152" s="22" t="s">
        <v>44</v>
      </c>
      <c r="C152" s="70"/>
      <c r="D152" s="22"/>
      <c r="E152" s="193" t="s">
        <v>34</v>
      </c>
      <c r="F152" s="22" t="s">
        <v>1</v>
      </c>
      <c r="G152" s="47">
        <v>60900</v>
      </c>
      <c r="H152" s="48">
        <f t="shared" si="30"/>
        <v>6090</v>
      </c>
      <c r="I152" s="112">
        <f>H155-I149</f>
        <v>0</v>
      </c>
    </row>
    <row r="153" spans="1:9" s="58" customFormat="1" ht="20.399999999999999" customHeight="1">
      <c r="A153" s="238"/>
      <c r="B153" s="22" t="s">
        <v>51</v>
      </c>
      <c r="C153" s="52"/>
      <c r="D153" s="22"/>
      <c r="E153" s="193" t="s">
        <v>34</v>
      </c>
      <c r="F153" s="22" t="s">
        <v>1</v>
      </c>
      <c r="G153" s="47">
        <v>42000</v>
      </c>
      <c r="H153" s="48">
        <f t="shared" si="30"/>
        <v>4200</v>
      </c>
      <c r="I153" s="112"/>
    </row>
    <row r="154" spans="1:9" s="58" customFormat="1" ht="20.399999999999999" customHeight="1">
      <c r="A154" s="180"/>
      <c r="B154" s="167" t="s">
        <v>20</v>
      </c>
      <c r="C154" s="167"/>
      <c r="D154" s="167"/>
      <c r="E154" s="200"/>
      <c r="F154" s="169"/>
      <c r="G154" s="167"/>
      <c r="H154" s="170">
        <f>144155-1248</f>
        <v>142907</v>
      </c>
      <c r="I154" s="112"/>
    </row>
    <row r="155" spans="1:9" s="58" customFormat="1" ht="20.399999999999999" customHeight="1">
      <c r="A155" s="113"/>
      <c r="B155" s="181"/>
      <c r="C155" s="115"/>
      <c r="D155" s="181"/>
      <c r="E155" s="201"/>
      <c r="F155" s="181"/>
      <c r="G155" s="183"/>
      <c r="H155" s="184">
        <f>SUM(H146:H154)</f>
        <v>3927000</v>
      </c>
      <c r="I155" s="112">
        <f>H155-I149</f>
        <v>0</v>
      </c>
    </row>
    <row r="156" spans="1:9" s="58" customFormat="1" ht="15" customHeight="1">
      <c r="A156" s="230" t="s">
        <v>158</v>
      </c>
      <c r="B156" s="29" t="s">
        <v>7</v>
      </c>
      <c r="C156" s="31">
        <f>E156/D156</f>
        <v>0.12034632034632035</v>
      </c>
      <c r="D156" s="110">
        <v>231</v>
      </c>
      <c r="E156" s="100" t="s">
        <v>56</v>
      </c>
      <c r="F156" s="41" t="s">
        <v>1</v>
      </c>
      <c r="G156" s="65">
        <v>21000</v>
      </c>
      <c r="H156" s="194">
        <f>G156*E156</f>
        <v>583800</v>
      </c>
      <c r="I156" s="175"/>
    </row>
    <row r="157" spans="1:9" s="58" customFormat="1" ht="24.6" customHeight="1">
      <c r="A157" s="230"/>
      <c r="B157" s="195" t="s">
        <v>62</v>
      </c>
      <c r="C157" s="32">
        <f>E157/D157</f>
        <v>9.9567099567099568E-2</v>
      </c>
      <c r="D157" s="12">
        <v>231</v>
      </c>
      <c r="E157" s="23">
        <v>23</v>
      </c>
      <c r="F157" s="12" t="s">
        <v>1</v>
      </c>
      <c r="G157" s="13">
        <v>87150</v>
      </c>
      <c r="H157" s="194">
        <f>G157*E157</f>
        <v>2004450</v>
      </c>
    </row>
    <row r="158" spans="1:9" s="58" customFormat="1" ht="15" customHeight="1">
      <c r="A158" s="230"/>
      <c r="B158" s="22" t="s">
        <v>28</v>
      </c>
      <c r="C158" s="22">
        <f t="shared" ref="C158" si="31">E158/D158</f>
        <v>5.2173913043478258E-2</v>
      </c>
      <c r="D158" s="22">
        <v>230</v>
      </c>
      <c r="E158" s="193" t="s">
        <v>57</v>
      </c>
      <c r="F158" s="22" t="s">
        <v>1</v>
      </c>
      <c r="G158" s="47">
        <v>67200</v>
      </c>
      <c r="H158" s="48">
        <f t="shared" ref="H158" si="32">E158*G158</f>
        <v>806400</v>
      </c>
    </row>
    <row r="159" spans="1:9" s="58" customFormat="1" ht="15" customHeight="1">
      <c r="A159" s="230"/>
      <c r="B159" s="22" t="s">
        <v>72</v>
      </c>
      <c r="C159" s="66">
        <f t="shared" ref="C159" si="33">E159/D159</f>
        <v>4.329004329004329E-3</v>
      </c>
      <c r="D159" s="86">
        <v>231</v>
      </c>
      <c r="E159" s="85">
        <v>1</v>
      </c>
      <c r="F159" s="22" t="s">
        <v>2</v>
      </c>
      <c r="G159" s="47">
        <v>141750</v>
      </c>
      <c r="H159" s="48">
        <f t="shared" ref="H159" si="34">E159*G159</f>
        <v>141750</v>
      </c>
    </row>
    <row r="160" spans="1:9" s="58" customFormat="1" ht="15" customHeight="1">
      <c r="A160" s="171"/>
      <c r="B160" s="110" t="s">
        <v>167</v>
      </c>
      <c r="C160" s="164"/>
      <c r="D160" s="110">
        <v>231</v>
      </c>
      <c r="E160" s="102" t="s">
        <v>169</v>
      </c>
      <c r="F160" s="110" t="s">
        <v>2</v>
      </c>
      <c r="G160" s="162">
        <v>25200</v>
      </c>
      <c r="H160" s="163">
        <f>E160*G160</f>
        <v>100800</v>
      </c>
    </row>
    <row r="161" spans="1:9" s="58" customFormat="1" ht="15" customHeight="1">
      <c r="A161" s="171"/>
      <c r="B161" s="110" t="s">
        <v>168</v>
      </c>
      <c r="C161" s="164"/>
      <c r="D161" s="110"/>
      <c r="E161" s="102" t="s">
        <v>46</v>
      </c>
      <c r="F161" s="110" t="s">
        <v>1</v>
      </c>
      <c r="G161" s="162">
        <v>22050</v>
      </c>
      <c r="H161" s="163">
        <f t="shared" ref="H161:H163" si="35">E161*G161</f>
        <v>136710</v>
      </c>
    </row>
    <row r="162" spans="1:9" s="58" customFormat="1" ht="15" customHeight="1">
      <c r="A162" s="171"/>
      <c r="B162" s="110" t="s">
        <v>29</v>
      </c>
      <c r="C162" s="160"/>
      <c r="D162" s="110"/>
      <c r="E162" s="102" t="s">
        <v>34</v>
      </c>
      <c r="F162" s="110" t="s">
        <v>2</v>
      </c>
      <c r="G162" s="47">
        <v>36750</v>
      </c>
      <c r="H162" s="48">
        <f t="shared" si="35"/>
        <v>3675</v>
      </c>
    </row>
    <row r="163" spans="1:9" s="58" customFormat="1" ht="15" customHeight="1">
      <c r="A163" s="171"/>
      <c r="B163" s="110" t="s">
        <v>8</v>
      </c>
      <c r="C163" s="111"/>
      <c r="D163" s="110"/>
      <c r="E163" s="202">
        <v>0.1</v>
      </c>
      <c r="F163" s="110" t="s">
        <v>1</v>
      </c>
      <c r="G163" s="47">
        <v>57750</v>
      </c>
      <c r="H163" s="48">
        <f t="shared" si="35"/>
        <v>5775</v>
      </c>
    </row>
    <row r="164" spans="1:9" s="58" customFormat="1" ht="15" customHeight="1">
      <c r="A164" s="171"/>
      <c r="B164" s="167" t="s">
        <v>20</v>
      </c>
      <c r="C164" s="167"/>
      <c r="D164" s="167"/>
      <c r="E164" s="200"/>
      <c r="F164" s="169"/>
      <c r="G164" s="167"/>
      <c r="H164" s="170">
        <f>144155-515</f>
        <v>143640</v>
      </c>
    </row>
    <row r="165" spans="1:9" s="79" customFormat="1" ht="19.8" customHeight="1">
      <c r="A165" s="117"/>
      <c r="B165" s="94"/>
      <c r="C165" s="94"/>
      <c r="D165" s="94"/>
      <c r="E165" s="103"/>
      <c r="F165" s="119"/>
      <c r="G165" s="94"/>
      <c r="H165" s="120">
        <f>SUM(H156:H164)</f>
        <v>3927000</v>
      </c>
      <c r="I165" s="97">
        <f>231*17000</f>
        <v>3927000</v>
      </c>
    </row>
    <row r="166" spans="1:9">
      <c r="A166" s="35"/>
      <c r="B166" s="35"/>
      <c r="C166" s="35"/>
      <c r="D166" s="35"/>
      <c r="E166" s="203"/>
    </row>
    <row r="167" spans="1:9" ht="18">
      <c r="A167" s="231" t="s">
        <v>22</v>
      </c>
      <c r="B167" s="231"/>
      <c r="C167" s="231" t="s">
        <v>23</v>
      </c>
      <c r="D167" s="231"/>
      <c r="E167" s="231"/>
      <c r="F167" s="1"/>
      <c r="G167" s="231" t="s">
        <v>24</v>
      </c>
      <c r="H167" s="231"/>
    </row>
    <row r="183" spans="1:10" ht="15.6">
      <c r="A183" s="3" t="s">
        <v>0</v>
      </c>
      <c r="B183" s="3"/>
    </row>
    <row r="184" spans="1:10" s="38" customFormat="1" ht="16.8" customHeight="1">
      <c r="A184" s="231" t="s">
        <v>139</v>
      </c>
      <c r="B184" s="231"/>
      <c r="C184" s="231"/>
      <c r="D184" s="231"/>
      <c r="E184" s="231"/>
      <c r="F184" s="231"/>
      <c r="G184" s="231"/>
      <c r="H184" s="231"/>
      <c r="I184" s="95">
        <f>1996200/15</f>
        <v>133080</v>
      </c>
    </row>
    <row r="185" spans="1:10" s="38" customFormat="1" ht="16.8" customHeight="1">
      <c r="A185" s="37"/>
      <c r="B185" s="232" t="s">
        <v>142</v>
      </c>
      <c r="C185" s="232"/>
      <c r="D185" s="232"/>
      <c r="E185" s="232"/>
      <c r="F185" s="232"/>
      <c r="G185" s="232"/>
      <c r="H185" s="232"/>
    </row>
    <row r="186" spans="1:10" ht="15" customHeight="1">
      <c r="A186" s="4" t="s">
        <v>11</v>
      </c>
      <c r="B186" s="5" t="s">
        <v>12</v>
      </c>
      <c r="C186" s="6" t="s">
        <v>13</v>
      </c>
      <c r="D186" s="7" t="s">
        <v>14</v>
      </c>
      <c r="E186" s="4" t="s">
        <v>15</v>
      </c>
      <c r="F186" s="8" t="s">
        <v>3</v>
      </c>
      <c r="G186" s="4" t="s">
        <v>16</v>
      </c>
      <c r="H186" s="4" t="s">
        <v>17</v>
      </c>
      <c r="J186" s="11" t="e">
        <f>#REF!*#REF!</f>
        <v>#REF!</v>
      </c>
    </row>
    <row r="187" spans="1:10" s="45" customFormat="1" ht="15" customHeight="1">
      <c r="A187" s="240" t="s">
        <v>143</v>
      </c>
      <c r="B187" s="29" t="s">
        <v>7</v>
      </c>
      <c r="C187" s="31">
        <f>E187/D187</f>
        <v>0.11991341991341992</v>
      </c>
      <c r="D187" s="9">
        <v>231</v>
      </c>
      <c r="E187" s="104">
        <v>27.7</v>
      </c>
      <c r="F187" s="9" t="s">
        <v>1</v>
      </c>
      <c r="G187" s="30">
        <v>21525</v>
      </c>
      <c r="H187" s="11">
        <f>G187*E187</f>
        <v>596242.5</v>
      </c>
      <c r="I187" s="44"/>
      <c r="J187" s="48" t="e">
        <f>#REF!*#REF!</f>
        <v>#REF!</v>
      </c>
    </row>
    <row r="188" spans="1:10" s="45" customFormat="1" ht="15" customHeight="1">
      <c r="A188" s="241"/>
      <c r="B188" s="12" t="s">
        <v>62</v>
      </c>
      <c r="C188" s="32">
        <f>E188/D188</f>
        <v>0.11038961038961038</v>
      </c>
      <c r="D188" s="12">
        <v>231</v>
      </c>
      <c r="E188" s="23">
        <v>25.5</v>
      </c>
      <c r="F188" s="12" t="s">
        <v>1</v>
      </c>
      <c r="G188" s="13">
        <v>86100</v>
      </c>
      <c r="H188" s="14">
        <f>G188*E188</f>
        <v>2195550</v>
      </c>
      <c r="I188" s="51">
        <f>232*17000</f>
        <v>3944000</v>
      </c>
      <c r="J188" s="48" t="e">
        <f>#REF!*#REF!</f>
        <v>#REF!</v>
      </c>
    </row>
    <row r="189" spans="1:10" s="45" customFormat="1" ht="19.2" customHeight="1">
      <c r="A189" s="242"/>
      <c r="B189" s="12" t="s">
        <v>63</v>
      </c>
      <c r="C189" s="32">
        <f t="shared" ref="C189:C192" si="36">E189/D189</f>
        <v>3.67965367965368E-2</v>
      </c>
      <c r="D189" s="12">
        <v>231</v>
      </c>
      <c r="E189" s="23">
        <v>8.5</v>
      </c>
      <c r="F189" s="12" t="s">
        <v>1</v>
      </c>
      <c r="G189" s="13">
        <v>67200</v>
      </c>
      <c r="H189" s="14">
        <f t="shared" ref="H189:H192" si="37">G189*E189</f>
        <v>571200</v>
      </c>
      <c r="I189" s="55">
        <f>I188-H197</f>
        <v>17000.5</v>
      </c>
      <c r="J189" s="48" t="e">
        <f>#REF!*#REF!</f>
        <v>#REF!</v>
      </c>
    </row>
    <row r="190" spans="1:10" s="45" customFormat="1" ht="21.6" customHeight="1">
      <c r="A190" s="242"/>
      <c r="B190" s="12" t="s">
        <v>47</v>
      </c>
      <c r="C190" s="32">
        <f t="shared" si="36"/>
        <v>1.2987012987012988E-2</v>
      </c>
      <c r="D190" s="12">
        <v>231</v>
      </c>
      <c r="E190" s="178" t="s">
        <v>35</v>
      </c>
      <c r="F190" s="12" t="s">
        <v>1</v>
      </c>
      <c r="G190" s="13">
        <v>78750</v>
      </c>
      <c r="H190" s="14">
        <f t="shared" si="37"/>
        <v>236250</v>
      </c>
      <c r="J190" s="48">
        <f>184800+136500</f>
        <v>321300</v>
      </c>
    </row>
    <row r="191" spans="1:10" s="45" customFormat="1" ht="15" customHeight="1">
      <c r="A191" s="242"/>
      <c r="B191" s="12" t="s">
        <v>48</v>
      </c>
      <c r="C191" s="32">
        <f t="shared" si="36"/>
        <v>4.0259740259740266E-2</v>
      </c>
      <c r="D191" s="12">
        <v>231</v>
      </c>
      <c r="E191" s="178" t="s">
        <v>148</v>
      </c>
      <c r="F191" s="12" t="s">
        <v>1</v>
      </c>
      <c r="G191" s="13">
        <v>18900</v>
      </c>
      <c r="H191" s="14">
        <f t="shared" si="37"/>
        <v>175770</v>
      </c>
      <c r="I191" s="51">
        <f>231*17000</f>
        <v>3927000</v>
      </c>
      <c r="J191" s="48">
        <v>136716</v>
      </c>
    </row>
    <row r="192" spans="1:10" s="45" customFormat="1" ht="15" customHeight="1">
      <c r="A192" s="242"/>
      <c r="B192" s="12" t="s">
        <v>50</v>
      </c>
      <c r="C192" s="32">
        <f t="shared" si="36"/>
        <v>4.329004329004329E-4</v>
      </c>
      <c r="D192" s="12">
        <v>231</v>
      </c>
      <c r="E192" s="178" t="s">
        <v>34</v>
      </c>
      <c r="F192" s="12" t="s">
        <v>1</v>
      </c>
      <c r="G192" s="13">
        <v>63000</v>
      </c>
      <c r="H192" s="14">
        <f t="shared" si="37"/>
        <v>6300</v>
      </c>
      <c r="I192" s="55">
        <f>H197-I191</f>
        <v>-0.5</v>
      </c>
      <c r="J192" s="56"/>
    </row>
    <row r="193" spans="1:10" s="45" customFormat="1" ht="15" customHeight="1">
      <c r="A193" s="242"/>
      <c r="B193" s="12" t="s">
        <v>132</v>
      </c>
      <c r="C193" s="28"/>
      <c r="D193" s="12"/>
      <c r="E193" s="178" t="s">
        <v>34</v>
      </c>
      <c r="F193" s="26" t="s">
        <v>1</v>
      </c>
      <c r="G193" s="13">
        <v>47250</v>
      </c>
      <c r="H193" s="14">
        <f t="shared" ref="H193:H195" si="38">E193*G193</f>
        <v>4725</v>
      </c>
      <c r="I193" s="55">
        <f>0.1*232</f>
        <v>23.200000000000003</v>
      </c>
      <c r="J193" s="56"/>
    </row>
    <row r="194" spans="1:10" s="45" customFormat="1" ht="15" customHeight="1">
      <c r="A194" s="242"/>
      <c r="B194" s="22" t="s">
        <v>8</v>
      </c>
      <c r="C194" s="22"/>
      <c r="D194" s="22"/>
      <c r="E194" s="85">
        <v>0.1</v>
      </c>
      <c r="F194" s="22" t="s">
        <v>1</v>
      </c>
      <c r="G194" s="47">
        <v>57750</v>
      </c>
      <c r="H194" s="48">
        <f t="shared" si="38"/>
        <v>5775</v>
      </c>
      <c r="I194" s="55"/>
      <c r="J194" s="56"/>
    </row>
    <row r="195" spans="1:10" s="45" customFormat="1" ht="15" customHeight="1">
      <c r="A195" s="242"/>
      <c r="B195" s="22" t="s">
        <v>51</v>
      </c>
      <c r="C195" s="52"/>
      <c r="D195" s="22"/>
      <c r="E195" s="193" t="s">
        <v>34</v>
      </c>
      <c r="F195" s="22" t="s">
        <v>1</v>
      </c>
      <c r="G195" s="47">
        <v>42000</v>
      </c>
      <c r="H195" s="48">
        <f t="shared" si="38"/>
        <v>4200</v>
      </c>
      <c r="J195" s="56"/>
    </row>
    <row r="196" spans="1:10" s="45" customFormat="1" ht="15" customHeight="1">
      <c r="A196" s="242"/>
      <c r="B196" s="52" t="s">
        <v>20</v>
      </c>
      <c r="C196" s="52"/>
      <c r="D196" s="52"/>
      <c r="E196" s="196"/>
      <c r="F196" s="54"/>
      <c r="G196" s="52"/>
      <c r="H196" s="170">
        <f>130426+562-1</f>
        <v>130987</v>
      </c>
      <c r="J196" s="56"/>
    </row>
    <row r="197" spans="1:10" s="72" customFormat="1" ht="22.2" customHeight="1">
      <c r="A197" s="243"/>
      <c r="B197" s="185"/>
      <c r="C197" s="185"/>
      <c r="D197" s="185"/>
      <c r="E197" s="204"/>
      <c r="F197" s="186"/>
      <c r="G197" s="185"/>
      <c r="H197" s="187">
        <f>SUM(H187:H196)</f>
        <v>3926999.5</v>
      </c>
      <c r="I197" s="71">
        <f>H197-I191</f>
        <v>-0.5</v>
      </c>
    </row>
    <row r="198" spans="1:10" s="45" customFormat="1" ht="15" customHeight="1">
      <c r="A198" s="233" t="s">
        <v>144</v>
      </c>
      <c r="B198" s="39" t="s">
        <v>7</v>
      </c>
      <c r="C198" s="40">
        <f>E198/D198</f>
        <v>0.12008733624454149</v>
      </c>
      <c r="D198" s="22">
        <v>229</v>
      </c>
      <c r="E198" s="98">
        <v>27.5</v>
      </c>
      <c r="F198" s="41" t="s">
        <v>1</v>
      </c>
      <c r="G198" s="42">
        <v>21525</v>
      </c>
      <c r="H198" s="43">
        <f>E198*G198</f>
        <v>591937.5</v>
      </c>
      <c r="I198" s="96">
        <f>H197-I188</f>
        <v>-17000.5</v>
      </c>
    </row>
    <row r="199" spans="1:10" s="45" customFormat="1" ht="15" customHeight="1">
      <c r="A199" s="234"/>
      <c r="B199" s="110" t="s">
        <v>4</v>
      </c>
      <c r="C199" s="22">
        <f>E199/D199</f>
        <v>7.1615720524017462E-2</v>
      </c>
      <c r="D199" s="22">
        <v>229</v>
      </c>
      <c r="E199" s="111">
        <v>16.399999999999999</v>
      </c>
      <c r="F199" s="22" t="s">
        <v>1</v>
      </c>
      <c r="G199" s="47">
        <v>141750</v>
      </c>
      <c r="H199" s="48">
        <f>E199*G199</f>
        <v>2324700</v>
      </c>
      <c r="I199" s="50">
        <f>229*17000</f>
        <v>3893000</v>
      </c>
    </row>
    <row r="200" spans="1:10" s="45" customFormat="1" ht="15" customHeight="1">
      <c r="A200" s="234"/>
      <c r="B200" s="110" t="s">
        <v>26</v>
      </c>
      <c r="C200" s="22">
        <f t="shared" ref="C200:C201" si="39">E200/D200</f>
        <v>3.0567685589519651E-3</v>
      </c>
      <c r="D200" s="22">
        <v>229</v>
      </c>
      <c r="E200" s="102" t="s">
        <v>27</v>
      </c>
      <c r="F200" s="22" t="s">
        <v>1</v>
      </c>
      <c r="G200" s="47">
        <v>304500</v>
      </c>
      <c r="H200" s="48">
        <f t="shared" ref="H200:H204" si="40">E200*G200</f>
        <v>213150</v>
      </c>
    </row>
    <row r="201" spans="1:10" s="45" customFormat="1" ht="15" customHeight="1">
      <c r="A201" s="234"/>
      <c r="B201" s="110" t="s">
        <v>28</v>
      </c>
      <c r="C201" s="22">
        <f t="shared" si="39"/>
        <v>3.0567685589519649E-2</v>
      </c>
      <c r="D201" s="22">
        <v>229</v>
      </c>
      <c r="E201" s="102" t="s">
        <v>64</v>
      </c>
      <c r="F201" s="22" t="s">
        <v>1</v>
      </c>
      <c r="G201" s="47">
        <v>67200</v>
      </c>
      <c r="H201" s="48">
        <f t="shared" si="40"/>
        <v>470400</v>
      </c>
      <c r="I201" s="59">
        <f>I199-H206</f>
        <v>0.5</v>
      </c>
    </row>
    <row r="202" spans="1:10" s="45" customFormat="1" ht="15" customHeight="1">
      <c r="A202" s="234"/>
      <c r="B202" s="22" t="s">
        <v>40</v>
      </c>
      <c r="C202" s="85"/>
      <c r="D202" s="22"/>
      <c r="E202" s="85">
        <v>0.1</v>
      </c>
      <c r="F202" s="22" t="s">
        <v>2</v>
      </c>
      <c r="G202" s="47">
        <v>36750</v>
      </c>
      <c r="H202" s="48">
        <f t="shared" si="40"/>
        <v>3675</v>
      </c>
    </row>
    <row r="203" spans="1:10" s="45" customFormat="1" ht="15" customHeight="1">
      <c r="A203" s="234"/>
      <c r="B203" s="84" t="s">
        <v>73</v>
      </c>
      <c r="C203" s="85"/>
      <c r="D203" s="88"/>
      <c r="E203" s="99">
        <v>8.1999999999999993</v>
      </c>
      <c r="F203" s="22" t="s">
        <v>1</v>
      </c>
      <c r="G203" s="47">
        <v>18900</v>
      </c>
      <c r="H203" s="48">
        <f t="shared" si="40"/>
        <v>154980</v>
      </c>
    </row>
    <row r="204" spans="1:10" s="45" customFormat="1" ht="15" customHeight="1">
      <c r="A204" s="234"/>
      <c r="B204" s="22" t="s">
        <v>8</v>
      </c>
      <c r="C204" s="22"/>
      <c r="D204" s="22"/>
      <c r="E204" s="85">
        <v>0.1</v>
      </c>
      <c r="F204" s="22" t="s">
        <v>1</v>
      </c>
      <c r="G204" s="47">
        <v>57750</v>
      </c>
      <c r="H204" s="48">
        <f t="shared" si="40"/>
        <v>5775</v>
      </c>
    </row>
    <row r="205" spans="1:10" s="45" customFormat="1" ht="15" customHeight="1">
      <c r="A205" s="235"/>
      <c r="B205" s="52" t="s">
        <v>20</v>
      </c>
      <c r="C205" s="52"/>
      <c r="D205" s="52"/>
      <c r="E205" s="196"/>
      <c r="F205" s="54"/>
      <c r="G205" s="52"/>
      <c r="H205" s="48">
        <f>130426-2044</f>
        <v>128382</v>
      </c>
      <c r="I205" s="45">
        <v>130426</v>
      </c>
    </row>
    <row r="206" spans="1:10" s="72" customFormat="1" ht="18.600000000000001" customHeight="1">
      <c r="A206" s="73"/>
      <c r="B206" s="74"/>
      <c r="C206" s="75"/>
      <c r="D206" s="75"/>
      <c r="E206" s="197"/>
      <c r="F206" s="77"/>
      <c r="G206" s="74"/>
      <c r="H206" s="78">
        <f>SUM(H198:H205)</f>
        <v>3892999.5</v>
      </c>
      <c r="I206" s="97">
        <f>H206-I199</f>
        <v>-0.5</v>
      </c>
    </row>
    <row r="207" spans="1:10" s="126" customFormat="1" ht="15" customHeight="1">
      <c r="A207" s="135"/>
      <c r="B207" s="39" t="s">
        <v>18</v>
      </c>
      <c r="C207" s="156">
        <f>E207/D207</f>
        <v>0.1206140350877193</v>
      </c>
      <c r="D207" s="110">
        <v>228</v>
      </c>
      <c r="E207" s="101" t="s">
        <v>75</v>
      </c>
      <c r="F207" s="157" t="s">
        <v>1</v>
      </c>
      <c r="G207" s="158">
        <v>21000</v>
      </c>
      <c r="H207" s="159">
        <f>E207*G207</f>
        <v>577500</v>
      </c>
      <c r="I207" s="126">
        <f>4205303-3893000</f>
        <v>312303</v>
      </c>
    </row>
    <row r="208" spans="1:10" s="126" customFormat="1" ht="15" customHeight="1">
      <c r="A208" s="244" t="s">
        <v>145</v>
      </c>
      <c r="B208" s="157" t="s">
        <v>87</v>
      </c>
      <c r="C208" s="160">
        <f t="shared" ref="C208:C210" si="41">E208/D208</f>
        <v>7.8070175438596498E-2</v>
      </c>
      <c r="D208" s="110">
        <v>228</v>
      </c>
      <c r="E208" s="101" t="s">
        <v>149</v>
      </c>
      <c r="F208" s="110" t="s">
        <v>1</v>
      </c>
      <c r="G208" s="158">
        <v>129150</v>
      </c>
      <c r="H208" s="163">
        <f>G208*E208</f>
        <v>2298870</v>
      </c>
    </row>
    <row r="209" spans="1:9" s="126" customFormat="1" ht="19.2" customHeight="1">
      <c r="A209" s="244"/>
      <c r="B209" s="22" t="s">
        <v>72</v>
      </c>
      <c r="C209" s="66">
        <f t="shared" si="41"/>
        <v>4.3859649122807015E-3</v>
      </c>
      <c r="D209" s="86">
        <v>228</v>
      </c>
      <c r="E209" s="85">
        <v>1</v>
      </c>
      <c r="F209" s="22" t="s">
        <v>2</v>
      </c>
      <c r="G209" s="47">
        <v>141750</v>
      </c>
      <c r="H209" s="48">
        <f t="shared" ref="H209" si="42">E209*G209</f>
        <v>141750</v>
      </c>
      <c r="I209" s="149">
        <f>232*17000</f>
        <v>3944000</v>
      </c>
    </row>
    <row r="210" spans="1:9" s="126" customFormat="1" ht="15" customHeight="1">
      <c r="A210" s="244"/>
      <c r="B210" s="110" t="s">
        <v>5</v>
      </c>
      <c r="C210" s="164">
        <f t="shared" si="41"/>
        <v>0.57456140350877194</v>
      </c>
      <c r="D210" s="110">
        <v>228</v>
      </c>
      <c r="E210" s="102" t="s">
        <v>88</v>
      </c>
      <c r="F210" s="110" t="s">
        <v>1</v>
      </c>
      <c r="G210" s="162">
        <v>3510</v>
      </c>
      <c r="H210" s="163">
        <f>E210*G210</f>
        <v>459810</v>
      </c>
    </row>
    <row r="211" spans="1:9" s="126" customFormat="1" ht="15" customHeight="1">
      <c r="A211" s="244"/>
      <c r="B211" s="110" t="s">
        <v>90</v>
      </c>
      <c r="C211" s="164"/>
      <c r="D211" s="110"/>
      <c r="E211" s="102" t="s">
        <v>92</v>
      </c>
      <c r="F211" s="110" t="s">
        <v>91</v>
      </c>
      <c r="G211" s="162">
        <v>37800</v>
      </c>
      <c r="H211" s="163">
        <f>E211*G211</f>
        <v>75600</v>
      </c>
    </row>
    <row r="212" spans="1:9" s="126" customFormat="1" ht="15" customHeight="1">
      <c r="A212" s="244"/>
      <c r="B212" s="110" t="s">
        <v>100</v>
      </c>
      <c r="C212" s="164"/>
      <c r="D212" s="110"/>
      <c r="E212" s="102" t="s">
        <v>21</v>
      </c>
      <c r="F212" s="110" t="s">
        <v>2</v>
      </c>
      <c r="G212" s="162">
        <v>44280</v>
      </c>
      <c r="H212" s="163">
        <f>E212*G212</f>
        <v>44280</v>
      </c>
    </row>
    <row r="213" spans="1:9" s="126" customFormat="1" ht="15" customHeight="1">
      <c r="A213" s="244"/>
      <c r="B213" s="110" t="s">
        <v>101</v>
      </c>
      <c r="C213" s="164"/>
      <c r="D213" s="110"/>
      <c r="E213" s="102" t="s">
        <v>150</v>
      </c>
      <c r="F213" s="110" t="s">
        <v>1</v>
      </c>
      <c r="G213" s="162">
        <v>24150</v>
      </c>
      <c r="H213" s="163">
        <f t="shared" ref="H213:H215" si="43">E213*G213</f>
        <v>132825</v>
      </c>
    </row>
    <row r="214" spans="1:9" s="126" customFormat="1" ht="15" customHeight="1">
      <c r="A214" s="244"/>
      <c r="B214" s="110" t="s">
        <v>29</v>
      </c>
      <c r="C214" s="160"/>
      <c r="D214" s="110"/>
      <c r="E214" s="102" t="s">
        <v>34</v>
      </c>
      <c r="F214" s="110" t="s">
        <v>2</v>
      </c>
      <c r="G214" s="47">
        <v>36750</v>
      </c>
      <c r="H214" s="48">
        <f t="shared" si="43"/>
        <v>3675</v>
      </c>
    </row>
    <row r="215" spans="1:9" s="126" customFormat="1" ht="15" customHeight="1">
      <c r="A215" s="244"/>
      <c r="B215" s="110" t="s">
        <v>8</v>
      </c>
      <c r="C215" s="111"/>
      <c r="D215" s="110"/>
      <c r="E215" s="202">
        <v>0.2</v>
      </c>
      <c r="F215" s="110" t="s">
        <v>1</v>
      </c>
      <c r="G215" s="47">
        <v>57750</v>
      </c>
      <c r="H215" s="48">
        <f t="shared" si="43"/>
        <v>11550</v>
      </c>
      <c r="I215" s="155">
        <f>228*17000</f>
        <v>3876000</v>
      </c>
    </row>
    <row r="216" spans="1:9" s="126" customFormat="1" ht="15" customHeight="1">
      <c r="A216" s="244"/>
      <c r="B216" s="167" t="s">
        <v>20</v>
      </c>
      <c r="C216" s="167"/>
      <c r="D216" s="167"/>
      <c r="E216" s="200"/>
      <c r="F216" s="169"/>
      <c r="G216" s="167"/>
      <c r="H216" s="170">
        <f>130426+286</f>
        <v>130712</v>
      </c>
    </row>
    <row r="217" spans="1:9" s="58" customFormat="1" ht="20.399999999999999" customHeight="1">
      <c r="A217" s="113"/>
      <c r="B217" s="15"/>
      <c r="C217" s="15"/>
      <c r="D217" s="15"/>
      <c r="E217" s="199"/>
      <c r="F217" s="16"/>
      <c r="G217" s="15"/>
      <c r="H217" s="2">
        <f>SUM(H207:H216)</f>
        <v>3876572</v>
      </c>
      <c r="I217" s="112">
        <f>H217-I215</f>
        <v>572</v>
      </c>
    </row>
    <row r="218" spans="1:9" s="58" customFormat="1" ht="20.399999999999999" customHeight="1">
      <c r="A218" s="237" t="s">
        <v>146</v>
      </c>
      <c r="B218" s="41" t="s">
        <v>18</v>
      </c>
      <c r="C218" s="64">
        <f>E218/D218</f>
        <v>0.1206140350877193</v>
      </c>
      <c r="D218" s="110">
        <v>228</v>
      </c>
      <c r="E218" s="100" t="s">
        <v>75</v>
      </c>
      <c r="F218" s="41" t="s">
        <v>1</v>
      </c>
      <c r="G218" s="65">
        <v>21000</v>
      </c>
      <c r="H218" s="43">
        <f>E218*G218</f>
        <v>577500</v>
      </c>
      <c r="I218" s="112"/>
    </row>
    <row r="219" spans="1:9" s="58" customFormat="1" ht="20.399999999999999" customHeight="1">
      <c r="A219" s="238"/>
      <c r="B219" s="22" t="s">
        <v>52</v>
      </c>
      <c r="C219" s="66">
        <f t="shared" ref="C219:C220" si="44">E219/D219</f>
        <v>6.9736842105263153E-2</v>
      </c>
      <c r="D219" s="110">
        <v>228</v>
      </c>
      <c r="E219" s="85">
        <v>15.9</v>
      </c>
      <c r="F219" s="22" t="s">
        <v>1</v>
      </c>
      <c r="G219" s="47">
        <v>140700</v>
      </c>
      <c r="H219" s="48">
        <f>E219*G219-1892</f>
        <v>2235238</v>
      </c>
      <c r="I219" s="112"/>
    </row>
    <row r="220" spans="1:9" s="58" customFormat="1" ht="20.399999999999999" customHeight="1">
      <c r="A220" s="238"/>
      <c r="B220" s="22" t="s">
        <v>63</v>
      </c>
      <c r="C220" s="68">
        <f t="shared" si="44"/>
        <v>3.2017543859649125E-2</v>
      </c>
      <c r="D220" s="86">
        <v>228</v>
      </c>
      <c r="E220" s="178" t="s">
        <v>71</v>
      </c>
      <c r="F220" s="22" t="s">
        <v>1</v>
      </c>
      <c r="G220" s="47">
        <v>67200</v>
      </c>
      <c r="H220" s="48">
        <f>E220*G220</f>
        <v>490560</v>
      </c>
      <c r="I220" s="112"/>
    </row>
    <row r="221" spans="1:9" s="58" customFormat="1" ht="20.399999999999999" customHeight="1">
      <c r="A221" s="238"/>
      <c r="B221" s="22" t="s">
        <v>47</v>
      </c>
      <c r="C221" s="68"/>
      <c r="D221" s="110">
        <v>228</v>
      </c>
      <c r="E221" s="193" t="s">
        <v>35</v>
      </c>
      <c r="F221" s="22" t="s">
        <v>1</v>
      </c>
      <c r="G221" s="47">
        <v>78750</v>
      </c>
      <c r="H221" s="48">
        <f t="shared" ref="H221:H225" si="45">E221*G221</f>
        <v>236250</v>
      </c>
      <c r="I221" s="112">
        <f>229*17000</f>
        <v>3893000</v>
      </c>
    </row>
    <row r="222" spans="1:9" s="58" customFormat="1" ht="20.399999999999999" customHeight="1">
      <c r="A222" s="238"/>
      <c r="B222" s="22" t="s">
        <v>48</v>
      </c>
      <c r="C222" s="68"/>
      <c r="D222" s="86">
        <v>228</v>
      </c>
      <c r="E222" s="193" t="s">
        <v>140</v>
      </c>
      <c r="F222" s="22" t="s">
        <v>2</v>
      </c>
      <c r="G222" s="47">
        <v>20478</v>
      </c>
      <c r="H222" s="48">
        <f t="shared" si="45"/>
        <v>204780</v>
      </c>
      <c r="I222" s="112"/>
    </row>
    <row r="223" spans="1:9" s="58" customFormat="1" ht="20.399999999999999" customHeight="1">
      <c r="A223" s="238"/>
      <c r="B223" s="22" t="s">
        <v>50</v>
      </c>
      <c r="C223" s="22"/>
      <c r="D223" s="22"/>
      <c r="E223" s="193" t="s">
        <v>34</v>
      </c>
      <c r="F223" s="22" t="s">
        <v>1</v>
      </c>
      <c r="G223" s="47">
        <v>63000</v>
      </c>
      <c r="H223" s="48">
        <f t="shared" si="45"/>
        <v>6300</v>
      </c>
      <c r="I223" s="112"/>
    </row>
    <row r="224" spans="1:9" s="58" customFormat="1" ht="20.399999999999999" customHeight="1">
      <c r="A224" s="238"/>
      <c r="B224" s="22" t="s">
        <v>44</v>
      </c>
      <c r="C224" s="70"/>
      <c r="D224" s="22"/>
      <c r="E224" s="193" t="s">
        <v>34</v>
      </c>
      <c r="F224" s="22" t="s">
        <v>1</v>
      </c>
      <c r="G224" s="47">
        <v>60900</v>
      </c>
      <c r="H224" s="48">
        <f t="shared" si="45"/>
        <v>6090</v>
      </c>
      <c r="I224" s="112">
        <f>H227-I221</f>
        <v>0</v>
      </c>
    </row>
    <row r="225" spans="1:9" s="58" customFormat="1" ht="20.399999999999999" customHeight="1">
      <c r="A225" s="238"/>
      <c r="B225" s="22" t="s">
        <v>51</v>
      </c>
      <c r="C225" s="52"/>
      <c r="D225" s="22"/>
      <c r="E225" s="193" t="s">
        <v>34</v>
      </c>
      <c r="F225" s="22" t="s">
        <v>1</v>
      </c>
      <c r="G225" s="47">
        <v>42000</v>
      </c>
      <c r="H225" s="48">
        <f t="shared" si="45"/>
        <v>4200</v>
      </c>
      <c r="I225" s="112"/>
    </row>
    <row r="226" spans="1:9" s="58" customFormat="1" ht="20.399999999999999" customHeight="1">
      <c r="A226" s="180"/>
      <c r="B226" s="167" t="s">
        <v>20</v>
      </c>
      <c r="C226" s="167"/>
      <c r="D226" s="167"/>
      <c r="E226" s="200"/>
      <c r="F226" s="169"/>
      <c r="G226" s="167"/>
      <c r="H226" s="170">
        <f>130426+1288+368</f>
        <v>132082</v>
      </c>
      <c r="I226" s="112"/>
    </row>
    <row r="227" spans="1:9" s="58" customFormat="1" ht="20.399999999999999" customHeight="1">
      <c r="A227" s="113"/>
      <c r="B227" s="181"/>
      <c r="C227" s="115"/>
      <c r="D227" s="181"/>
      <c r="E227" s="201"/>
      <c r="F227" s="181"/>
      <c r="G227" s="183"/>
      <c r="H227" s="184">
        <f>SUM(H218:H226)</f>
        <v>3893000</v>
      </c>
      <c r="I227" s="112">
        <f>H227-I221</f>
        <v>0</v>
      </c>
    </row>
    <row r="228" spans="1:9" s="58" customFormat="1" ht="15" customHeight="1">
      <c r="A228" s="230" t="s">
        <v>147</v>
      </c>
      <c r="B228" s="39" t="s">
        <v>7</v>
      </c>
      <c r="C228" s="40">
        <f>E228/D228</f>
        <v>0.1206140350877193</v>
      </c>
      <c r="D228" s="22">
        <v>228</v>
      </c>
      <c r="E228" s="98">
        <v>27.5</v>
      </c>
      <c r="F228" s="41" t="s">
        <v>1</v>
      </c>
      <c r="G228" s="42">
        <v>21000</v>
      </c>
      <c r="H228" s="43">
        <f>E228*G228</f>
        <v>577500</v>
      </c>
      <c r="I228" s="175"/>
    </row>
    <row r="229" spans="1:9" s="58" customFormat="1" ht="15" customHeight="1">
      <c r="A229" s="230"/>
      <c r="B229" s="22" t="s">
        <v>30</v>
      </c>
      <c r="C229" s="22">
        <f>E229/D229</f>
        <v>5.8333333333333334E-2</v>
      </c>
      <c r="D229" s="22">
        <v>228</v>
      </c>
      <c r="E229" s="85">
        <v>13.3</v>
      </c>
      <c r="F229" s="22" t="s">
        <v>1</v>
      </c>
      <c r="G229" s="47">
        <v>169560</v>
      </c>
      <c r="H229" s="48">
        <f>E229*G229</f>
        <v>2255148</v>
      </c>
    </row>
    <row r="230" spans="1:9" s="58" customFormat="1" ht="15" customHeight="1">
      <c r="A230" s="230"/>
      <c r="B230" s="22" t="s">
        <v>31</v>
      </c>
      <c r="C230" s="22">
        <f t="shared" ref="C230:C232" si="46">E230/D230</f>
        <v>0.57456140350877194</v>
      </c>
      <c r="D230" s="22">
        <v>228</v>
      </c>
      <c r="E230" s="85">
        <v>131</v>
      </c>
      <c r="F230" s="22" t="s">
        <v>1</v>
      </c>
      <c r="G230" s="47">
        <v>3456</v>
      </c>
      <c r="H230" s="48">
        <f t="shared" ref="H230:H235" si="47">E230*G230</f>
        <v>452736</v>
      </c>
    </row>
    <row r="231" spans="1:9" s="58" customFormat="1" ht="15" customHeight="1">
      <c r="A231" s="230"/>
      <c r="B231" s="22" t="s">
        <v>32</v>
      </c>
      <c r="C231" s="22">
        <f t="shared" si="46"/>
        <v>2.7192982456140352E-2</v>
      </c>
      <c r="D231" s="22">
        <v>228</v>
      </c>
      <c r="E231" s="85">
        <v>6.2</v>
      </c>
      <c r="F231" s="22" t="s">
        <v>1</v>
      </c>
      <c r="G231" s="47">
        <v>23100</v>
      </c>
      <c r="H231" s="48">
        <f t="shared" si="47"/>
        <v>143220</v>
      </c>
    </row>
    <row r="232" spans="1:9" s="58" customFormat="1" ht="15" customHeight="1">
      <c r="A232" s="171"/>
      <c r="B232" s="22" t="s">
        <v>72</v>
      </c>
      <c r="C232" s="66">
        <f t="shared" si="46"/>
        <v>4.3859649122807015E-3</v>
      </c>
      <c r="D232" s="22">
        <v>228</v>
      </c>
      <c r="E232" s="85">
        <v>1</v>
      </c>
      <c r="F232" s="22" t="s">
        <v>2</v>
      </c>
      <c r="G232" s="47">
        <v>141750</v>
      </c>
      <c r="H232" s="48">
        <f t="shared" si="47"/>
        <v>141750</v>
      </c>
    </row>
    <row r="233" spans="1:9" s="58" customFormat="1" ht="15" customHeight="1">
      <c r="A233" s="171"/>
      <c r="B233" s="22" t="s">
        <v>40</v>
      </c>
      <c r="C233" s="85"/>
      <c r="D233" s="22"/>
      <c r="E233" s="85">
        <v>0.1</v>
      </c>
      <c r="F233" s="22" t="s">
        <v>2</v>
      </c>
      <c r="G233" s="47">
        <v>36750</v>
      </c>
      <c r="H233" s="48">
        <f t="shared" si="47"/>
        <v>3675</v>
      </c>
    </row>
    <row r="234" spans="1:9" s="58" customFormat="1" ht="15" customHeight="1">
      <c r="A234" s="171"/>
      <c r="B234" s="84" t="s">
        <v>73</v>
      </c>
      <c r="C234" s="85"/>
      <c r="D234" s="88"/>
      <c r="E234" s="99">
        <v>8.8000000000000007</v>
      </c>
      <c r="F234" s="22" t="s">
        <v>1</v>
      </c>
      <c r="G234" s="47">
        <v>18900</v>
      </c>
      <c r="H234" s="48">
        <f t="shared" si="47"/>
        <v>166320</v>
      </c>
    </row>
    <row r="235" spans="1:9" s="58" customFormat="1" ht="15" customHeight="1">
      <c r="A235" s="171"/>
      <c r="B235" s="22" t="s">
        <v>8</v>
      </c>
      <c r="C235" s="22"/>
      <c r="D235" s="22"/>
      <c r="E235" s="85">
        <v>0.1</v>
      </c>
      <c r="F235" s="22" t="s">
        <v>1</v>
      </c>
      <c r="G235" s="47">
        <v>57750</v>
      </c>
      <c r="H235" s="48">
        <f t="shared" si="47"/>
        <v>5775</v>
      </c>
    </row>
    <row r="236" spans="1:9" s="58" customFormat="1" ht="15" customHeight="1">
      <c r="A236" s="171"/>
      <c r="B236" s="52" t="s">
        <v>20</v>
      </c>
      <c r="C236" s="52"/>
      <c r="D236" s="52"/>
      <c r="E236" s="196"/>
      <c r="F236" s="54"/>
      <c r="G236" s="52"/>
      <c r="H236" s="170">
        <f>130426-550</f>
        <v>129876</v>
      </c>
    </row>
    <row r="237" spans="1:9" s="79" customFormat="1" ht="19.8" customHeight="1">
      <c r="A237" s="117"/>
      <c r="B237" s="94"/>
      <c r="C237" s="94"/>
      <c r="D237" s="94"/>
      <c r="E237" s="103"/>
      <c r="F237" s="119"/>
      <c r="G237" s="94"/>
      <c r="H237" s="120">
        <f>SUM(H228:H236)</f>
        <v>3876000</v>
      </c>
      <c r="I237" s="97" t="e">
        <f>#REF!-H237</f>
        <v>#REF!</v>
      </c>
    </row>
    <row r="238" spans="1:9">
      <c r="A238" s="35"/>
      <c r="B238" s="35"/>
      <c r="C238" s="35"/>
      <c r="D238" s="35"/>
      <c r="E238" s="203"/>
    </row>
    <row r="239" spans="1:9" ht="18">
      <c r="A239" s="231" t="s">
        <v>22</v>
      </c>
      <c r="B239" s="231"/>
      <c r="C239" s="231" t="s">
        <v>23</v>
      </c>
      <c r="D239" s="231"/>
      <c r="E239" s="231"/>
      <c r="F239" s="1"/>
      <c r="G239" s="231" t="s">
        <v>24</v>
      </c>
      <c r="H239" s="231"/>
    </row>
    <row r="255" spans="1:9" ht="15.6">
      <c r="A255" s="3" t="s">
        <v>0</v>
      </c>
      <c r="B255" s="3"/>
    </row>
    <row r="256" spans="1:9" s="38" customFormat="1" ht="16.8" customHeight="1">
      <c r="A256" s="231" t="s">
        <v>139</v>
      </c>
      <c r="B256" s="231"/>
      <c r="C256" s="231"/>
      <c r="D256" s="231"/>
      <c r="E256" s="231"/>
      <c r="F256" s="231"/>
      <c r="G256" s="231"/>
      <c r="H256" s="231"/>
      <c r="I256" s="95">
        <f>1996200/15</f>
        <v>133080</v>
      </c>
    </row>
    <row r="257" spans="1:10" s="38" customFormat="1" ht="16.8" customHeight="1">
      <c r="A257" s="37"/>
      <c r="B257" s="232" t="s">
        <v>131</v>
      </c>
      <c r="C257" s="232"/>
      <c r="D257" s="232"/>
      <c r="E257" s="232"/>
      <c r="F257" s="232"/>
      <c r="G257" s="232"/>
      <c r="H257" s="232"/>
    </row>
    <row r="258" spans="1:10" ht="15" customHeight="1">
      <c r="A258" s="4" t="s">
        <v>11</v>
      </c>
      <c r="B258" s="5" t="s">
        <v>12</v>
      </c>
      <c r="C258" s="6" t="s">
        <v>13</v>
      </c>
      <c r="D258" s="7" t="s">
        <v>14</v>
      </c>
      <c r="E258" s="4" t="s">
        <v>15</v>
      </c>
      <c r="F258" s="8" t="s">
        <v>3</v>
      </c>
      <c r="G258" s="4" t="s">
        <v>16</v>
      </c>
      <c r="H258" s="4" t="s">
        <v>17</v>
      </c>
      <c r="J258" s="11" t="e">
        <f>#REF!*#REF!</f>
        <v>#REF!</v>
      </c>
    </row>
    <row r="259" spans="1:10" s="45" customFormat="1" ht="15" customHeight="1">
      <c r="A259" s="240" t="s">
        <v>133</v>
      </c>
      <c r="B259" s="29" t="s">
        <v>7</v>
      </c>
      <c r="C259" s="31">
        <f>E259/D259</f>
        <v>0.11982758620689656</v>
      </c>
      <c r="D259" s="9">
        <v>232</v>
      </c>
      <c r="E259" s="104">
        <v>27.8</v>
      </c>
      <c r="F259" s="9" t="s">
        <v>1</v>
      </c>
      <c r="G259" s="30">
        <v>21525</v>
      </c>
      <c r="H259" s="11">
        <f>G259*E259</f>
        <v>598395</v>
      </c>
      <c r="I259" s="44"/>
      <c r="J259" s="48" t="e">
        <f>#REF!*#REF!</f>
        <v>#REF!</v>
      </c>
    </row>
    <row r="260" spans="1:10" s="45" customFormat="1" ht="15" customHeight="1">
      <c r="A260" s="241"/>
      <c r="B260" s="12" t="s">
        <v>62</v>
      </c>
      <c r="C260" s="32">
        <f>E260/D260</f>
        <v>0.10948275862068965</v>
      </c>
      <c r="D260" s="12">
        <v>232</v>
      </c>
      <c r="E260" s="23">
        <v>25.4</v>
      </c>
      <c r="F260" s="12" t="s">
        <v>1</v>
      </c>
      <c r="G260" s="13">
        <v>86100</v>
      </c>
      <c r="H260" s="14">
        <f>G260*E260</f>
        <v>2186940</v>
      </c>
      <c r="I260" s="51">
        <f>232*17000</f>
        <v>3944000</v>
      </c>
      <c r="J260" s="48" t="e">
        <f>#REF!*#REF!</f>
        <v>#REF!</v>
      </c>
    </row>
    <row r="261" spans="1:10" s="45" customFormat="1" ht="19.2" customHeight="1">
      <c r="A261" s="242"/>
      <c r="B261" s="12" t="s">
        <v>63</v>
      </c>
      <c r="C261" s="32">
        <f t="shared" ref="C261:C264" si="48">E261/D261</f>
        <v>3.7499999999999999E-2</v>
      </c>
      <c r="D261" s="12">
        <v>232</v>
      </c>
      <c r="E261" s="23">
        <v>8.6999999999999993</v>
      </c>
      <c r="F261" s="12" t="s">
        <v>1</v>
      </c>
      <c r="G261" s="13">
        <v>67200</v>
      </c>
      <c r="H261" s="14">
        <f t="shared" ref="H261:H264" si="49">G261*E261</f>
        <v>584640</v>
      </c>
      <c r="I261" s="55">
        <f>I260-H268</f>
        <v>0</v>
      </c>
      <c r="J261" s="48" t="e">
        <f>#REF!*#REF!</f>
        <v>#REF!</v>
      </c>
    </row>
    <row r="262" spans="1:10" s="45" customFormat="1" ht="21.6" customHeight="1">
      <c r="A262" s="242"/>
      <c r="B262" s="12" t="s">
        <v>47</v>
      </c>
      <c r="C262" s="32">
        <f t="shared" si="48"/>
        <v>1.2931034482758621E-2</v>
      </c>
      <c r="D262" s="12">
        <v>232</v>
      </c>
      <c r="E262" s="178" t="s">
        <v>35</v>
      </c>
      <c r="F262" s="12" t="s">
        <v>1</v>
      </c>
      <c r="G262" s="13">
        <v>78750</v>
      </c>
      <c r="H262" s="14">
        <f t="shared" si="49"/>
        <v>236250</v>
      </c>
      <c r="J262" s="48">
        <f>184800+136500</f>
        <v>321300</v>
      </c>
    </row>
    <row r="263" spans="1:10" s="45" customFormat="1" ht="15" customHeight="1">
      <c r="A263" s="242"/>
      <c r="B263" s="12" t="s">
        <v>48</v>
      </c>
      <c r="C263" s="32">
        <f t="shared" si="48"/>
        <v>4.3534482758620686E-2</v>
      </c>
      <c r="D263" s="12">
        <v>232</v>
      </c>
      <c r="E263" s="178" t="s">
        <v>39</v>
      </c>
      <c r="F263" s="12" t="s">
        <v>1</v>
      </c>
      <c r="G263" s="13">
        <v>18900</v>
      </c>
      <c r="H263" s="14">
        <f t="shared" si="49"/>
        <v>190890</v>
      </c>
      <c r="I263" s="51">
        <f>233*17000</f>
        <v>3961000</v>
      </c>
      <c r="J263" s="48">
        <v>136716</v>
      </c>
    </row>
    <row r="264" spans="1:10" s="45" customFormat="1" ht="15" customHeight="1">
      <c r="A264" s="242"/>
      <c r="B264" s="12" t="s">
        <v>50</v>
      </c>
      <c r="C264" s="32">
        <f t="shared" si="48"/>
        <v>4.3103448275862074E-4</v>
      </c>
      <c r="D264" s="12">
        <v>232</v>
      </c>
      <c r="E264" s="178" t="s">
        <v>34</v>
      </c>
      <c r="F264" s="12" t="s">
        <v>1</v>
      </c>
      <c r="G264" s="13">
        <v>63000</v>
      </c>
      <c r="H264" s="14">
        <f t="shared" si="49"/>
        <v>6300</v>
      </c>
      <c r="I264" s="55">
        <f>H268-I263</f>
        <v>-17000</v>
      </c>
      <c r="J264" s="56"/>
    </row>
    <row r="265" spans="1:10" s="45" customFormat="1" ht="15" customHeight="1">
      <c r="A265" s="242"/>
      <c r="B265" s="12" t="s">
        <v>132</v>
      </c>
      <c r="C265" s="28"/>
      <c r="D265" s="12"/>
      <c r="E265" s="178" t="s">
        <v>34</v>
      </c>
      <c r="F265" s="26" t="s">
        <v>1</v>
      </c>
      <c r="G265" s="13">
        <v>47250</v>
      </c>
      <c r="H265" s="14">
        <f t="shared" ref="H265" si="50">E265*G265</f>
        <v>4725</v>
      </c>
      <c r="I265" s="55">
        <f>0.1*232</f>
        <v>23.200000000000003</v>
      </c>
      <c r="J265" s="56"/>
    </row>
    <row r="266" spans="1:10" s="45" customFormat="1" ht="15" customHeight="1">
      <c r="A266" s="242"/>
      <c r="B266" s="22" t="s">
        <v>8</v>
      </c>
      <c r="C266" s="22"/>
      <c r="D266" s="22"/>
      <c r="E266" s="85">
        <v>0.1</v>
      </c>
      <c r="F266" s="22" t="s">
        <v>1</v>
      </c>
      <c r="G266" s="47">
        <v>57750</v>
      </c>
      <c r="H266" s="48">
        <f t="shared" ref="H266" si="51">E266*G266</f>
        <v>5775</v>
      </c>
      <c r="J266" s="56"/>
    </row>
    <row r="267" spans="1:10" s="45" customFormat="1" ht="15" customHeight="1">
      <c r="A267" s="242"/>
      <c r="B267" s="52" t="s">
        <v>20</v>
      </c>
      <c r="C267" s="52"/>
      <c r="D267" s="52"/>
      <c r="E267" s="196"/>
      <c r="F267" s="54"/>
      <c r="G267" s="52"/>
      <c r="H267" s="170">
        <f>130426-341</f>
        <v>130085</v>
      </c>
      <c r="J267" s="56"/>
    </row>
    <row r="268" spans="1:10" s="72" customFormat="1" ht="22.2" customHeight="1">
      <c r="A268" s="243"/>
      <c r="B268" s="185"/>
      <c r="C268" s="185"/>
      <c r="D268" s="185"/>
      <c r="E268" s="204"/>
      <c r="F268" s="186"/>
      <c r="G268" s="185"/>
      <c r="H268" s="187">
        <f>SUM(H259:H267)</f>
        <v>3944000</v>
      </c>
      <c r="I268" s="71">
        <f>I263-H268</f>
        <v>17000</v>
      </c>
    </row>
    <row r="269" spans="1:10" s="45" customFormat="1" ht="15" customHeight="1">
      <c r="A269" s="233" t="s">
        <v>134</v>
      </c>
      <c r="B269" s="39" t="s">
        <v>7</v>
      </c>
      <c r="C269" s="40">
        <f>E269/D269</f>
        <v>0.11931330472103005</v>
      </c>
      <c r="D269" s="22">
        <v>233</v>
      </c>
      <c r="E269" s="98">
        <v>27.8</v>
      </c>
      <c r="F269" s="41" t="s">
        <v>1</v>
      </c>
      <c r="G269" s="42">
        <v>21525</v>
      </c>
      <c r="H269" s="43">
        <f>E269*G269</f>
        <v>598395</v>
      </c>
      <c r="I269" s="96">
        <f>H268-I260</f>
        <v>0</v>
      </c>
    </row>
    <row r="270" spans="1:10" s="45" customFormat="1" ht="15" customHeight="1">
      <c r="A270" s="234"/>
      <c r="B270" s="22" t="s">
        <v>30</v>
      </c>
      <c r="C270" s="22">
        <f>E270/D270</f>
        <v>5.8798283261802572E-2</v>
      </c>
      <c r="D270" s="22">
        <v>233</v>
      </c>
      <c r="E270" s="85">
        <v>13.7</v>
      </c>
      <c r="F270" s="22" t="s">
        <v>1</v>
      </c>
      <c r="G270" s="47">
        <v>169560</v>
      </c>
      <c r="H270" s="48">
        <f>E270*G270</f>
        <v>2322972</v>
      </c>
      <c r="I270" s="50">
        <f>232*17000</f>
        <v>3944000</v>
      </c>
    </row>
    <row r="271" spans="1:10" s="45" customFormat="1" ht="15" customHeight="1">
      <c r="A271" s="234"/>
      <c r="B271" s="22" t="s">
        <v>31</v>
      </c>
      <c r="C271" s="22">
        <f t="shared" ref="C271:C273" si="52">E271/D271</f>
        <v>0.5622317596566524</v>
      </c>
      <c r="D271" s="22">
        <v>233</v>
      </c>
      <c r="E271" s="85">
        <v>131</v>
      </c>
      <c r="F271" s="22" t="s">
        <v>1</v>
      </c>
      <c r="G271" s="47">
        <v>3456</v>
      </c>
      <c r="H271" s="48">
        <f t="shared" ref="H271:H276" si="53">E271*G271</f>
        <v>452736</v>
      </c>
    </row>
    <row r="272" spans="1:10" s="45" customFormat="1" ht="15" customHeight="1">
      <c r="A272" s="234"/>
      <c r="B272" s="22" t="s">
        <v>32</v>
      </c>
      <c r="C272" s="22">
        <f t="shared" si="52"/>
        <v>2.6609442060085836E-2</v>
      </c>
      <c r="D272" s="22">
        <v>233</v>
      </c>
      <c r="E272" s="85">
        <v>6.2</v>
      </c>
      <c r="F272" s="22" t="s">
        <v>1</v>
      </c>
      <c r="G272" s="47">
        <v>23100</v>
      </c>
      <c r="H272" s="48">
        <f t="shared" si="53"/>
        <v>143220</v>
      </c>
      <c r="I272" s="59">
        <f>I270-H278</f>
        <v>0</v>
      </c>
    </row>
    <row r="273" spans="1:9" s="45" customFormat="1" ht="15" customHeight="1">
      <c r="A273" s="234"/>
      <c r="B273" s="22" t="s">
        <v>72</v>
      </c>
      <c r="C273" s="66">
        <f t="shared" si="52"/>
        <v>4.2918454935622317E-3</v>
      </c>
      <c r="D273" s="22">
        <v>233</v>
      </c>
      <c r="E273" s="85">
        <v>1</v>
      </c>
      <c r="F273" s="22" t="s">
        <v>2</v>
      </c>
      <c r="G273" s="47">
        <v>141750</v>
      </c>
      <c r="H273" s="48">
        <f t="shared" si="53"/>
        <v>141750</v>
      </c>
    </row>
    <row r="274" spans="1:9" s="45" customFormat="1" ht="15" customHeight="1">
      <c r="A274" s="234"/>
      <c r="B274" s="22" t="s">
        <v>40</v>
      </c>
      <c r="C274" s="85"/>
      <c r="D274" s="22"/>
      <c r="E274" s="85">
        <v>0.1</v>
      </c>
      <c r="F274" s="22" t="s">
        <v>2</v>
      </c>
      <c r="G274" s="47">
        <v>36750</v>
      </c>
      <c r="H274" s="48">
        <f t="shared" si="53"/>
        <v>3675</v>
      </c>
    </row>
    <row r="275" spans="1:9" s="45" customFormat="1" ht="15" customHeight="1">
      <c r="A275" s="234"/>
      <c r="B275" s="84" t="s">
        <v>73</v>
      </c>
      <c r="C275" s="85"/>
      <c r="D275" s="88"/>
      <c r="E275" s="99">
        <v>7.7</v>
      </c>
      <c r="F275" s="22" t="s">
        <v>1</v>
      </c>
      <c r="G275" s="47">
        <v>18900</v>
      </c>
      <c r="H275" s="48">
        <f t="shared" si="53"/>
        <v>145530</v>
      </c>
    </row>
    <row r="276" spans="1:9" s="45" customFormat="1" ht="15" customHeight="1">
      <c r="A276" s="234"/>
      <c r="B276" s="22" t="s">
        <v>8</v>
      </c>
      <c r="C276" s="22"/>
      <c r="D276" s="22"/>
      <c r="E276" s="85">
        <v>0.1</v>
      </c>
      <c r="F276" s="22" t="s">
        <v>1</v>
      </c>
      <c r="G276" s="47">
        <v>57750</v>
      </c>
      <c r="H276" s="48">
        <f t="shared" si="53"/>
        <v>5775</v>
      </c>
    </row>
    <row r="277" spans="1:9" s="45" customFormat="1" ht="15" customHeight="1">
      <c r="A277" s="235"/>
      <c r="B277" s="52" t="s">
        <v>20</v>
      </c>
      <c r="C277" s="52"/>
      <c r="D277" s="52"/>
      <c r="E277" s="196"/>
      <c r="F277" s="54"/>
      <c r="G277" s="52"/>
      <c r="H277" s="170">
        <f>130426-479</f>
        <v>129947</v>
      </c>
      <c r="I277" s="45">
        <v>130426</v>
      </c>
    </row>
    <row r="278" spans="1:9" s="72" customFormat="1" ht="18.600000000000001" customHeight="1">
      <c r="A278" s="73"/>
      <c r="B278" s="74"/>
      <c r="C278" s="75"/>
      <c r="D278" s="75"/>
      <c r="E278" s="197"/>
      <c r="F278" s="77"/>
      <c r="G278" s="74"/>
      <c r="H278" s="78">
        <f>SUM(H269:H277)</f>
        <v>3944000</v>
      </c>
      <c r="I278" s="97">
        <f>I270-H278</f>
        <v>0</v>
      </c>
    </row>
    <row r="279" spans="1:9" s="126" customFormat="1" ht="15" customHeight="1">
      <c r="A279" s="135"/>
      <c r="B279" s="39" t="s">
        <v>18</v>
      </c>
      <c r="C279" s="156">
        <f>E279/D279</f>
        <v>0.11931330472103005</v>
      </c>
      <c r="D279" s="110">
        <v>233</v>
      </c>
      <c r="E279" s="101" t="s">
        <v>56</v>
      </c>
      <c r="F279" s="157" t="s">
        <v>1</v>
      </c>
      <c r="G279" s="158">
        <v>21525</v>
      </c>
      <c r="H279" s="159">
        <f>E279*G279</f>
        <v>598395</v>
      </c>
    </row>
    <row r="280" spans="1:9" s="126" customFormat="1" ht="15" customHeight="1">
      <c r="A280" s="244" t="s">
        <v>135</v>
      </c>
      <c r="B280" s="157" t="s">
        <v>87</v>
      </c>
      <c r="C280" s="160">
        <f t="shared" ref="C280:C282" si="54">E280/D280</f>
        <v>7.8969957081545056E-2</v>
      </c>
      <c r="D280" s="110">
        <v>233</v>
      </c>
      <c r="E280" s="101" t="s">
        <v>141</v>
      </c>
      <c r="F280" s="110" t="s">
        <v>1</v>
      </c>
      <c r="G280" s="158">
        <v>129150</v>
      </c>
      <c r="H280" s="163">
        <f>G280*E280</f>
        <v>2376360</v>
      </c>
    </row>
    <row r="281" spans="1:9" s="126" customFormat="1" ht="19.2" customHeight="1">
      <c r="A281" s="244"/>
      <c r="B281" s="22" t="s">
        <v>72</v>
      </c>
      <c r="C281" s="66">
        <f t="shared" si="54"/>
        <v>4.2918454935622317E-3</v>
      </c>
      <c r="D281" s="86">
        <v>233</v>
      </c>
      <c r="E281" s="85">
        <v>1</v>
      </c>
      <c r="F281" s="22" t="s">
        <v>2</v>
      </c>
      <c r="G281" s="47">
        <v>141750</v>
      </c>
      <c r="H281" s="48">
        <f t="shared" ref="H281" si="55">E281*G281</f>
        <v>141750</v>
      </c>
      <c r="I281" s="149">
        <f>232*17000</f>
        <v>3944000</v>
      </c>
    </row>
    <row r="282" spans="1:9" s="126" customFormat="1" ht="15" customHeight="1">
      <c r="A282" s="244"/>
      <c r="B282" s="110" t="s">
        <v>5</v>
      </c>
      <c r="C282" s="164">
        <f t="shared" si="54"/>
        <v>0.5622317596566524</v>
      </c>
      <c r="D282" s="110">
        <v>233</v>
      </c>
      <c r="E282" s="102" t="s">
        <v>88</v>
      </c>
      <c r="F282" s="110" t="s">
        <v>1</v>
      </c>
      <c r="G282" s="162">
        <v>3510</v>
      </c>
      <c r="H282" s="163">
        <f>E282*G282</f>
        <v>459810</v>
      </c>
    </row>
    <row r="283" spans="1:9" s="126" customFormat="1" ht="15" customHeight="1">
      <c r="A283" s="244"/>
      <c r="B283" s="110" t="s">
        <v>90</v>
      </c>
      <c r="C283" s="164"/>
      <c r="D283" s="110"/>
      <c r="E283" s="102" t="s">
        <v>92</v>
      </c>
      <c r="F283" s="110" t="s">
        <v>91</v>
      </c>
      <c r="G283" s="162">
        <v>37800</v>
      </c>
      <c r="H283" s="163">
        <f>E283*G283</f>
        <v>75600</v>
      </c>
    </row>
    <row r="284" spans="1:9" s="126" customFormat="1" ht="15" customHeight="1">
      <c r="A284" s="244"/>
      <c r="B284" s="110" t="s">
        <v>100</v>
      </c>
      <c r="C284" s="164"/>
      <c r="D284" s="110"/>
      <c r="E284" s="102" t="s">
        <v>21</v>
      </c>
      <c r="F284" s="110" t="s">
        <v>2</v>
      </c>
      <c r="G284" s="162">
        <v>44280</v>
      </c>
      <c r="H284" s="163">
        <f>E284*G284</f>
        <v>44280</v>
      </c>
    </row>
    <row r="285" spans="1:9" s="126" customFormat="1" ht="15" customHeight="1">
      <c r="A285" s="244"/>
      <c r="B285" s="110" t="s">
        <v>101</v>
      </c>
      <c r="C285" s="164"/>
      <c r="D285" s="110"/>
      <c r="E285" s="102" t="s">
        <v>130</v>
      </c>
      <c r="F285" s="110" t="s">
        <v>1</v>
      </c>
      <c r="G285" s="162">
        <v>24150</v>
      </c>
      <c r="H285" s="163">
        <f t="shared" ref="H285:H287" si="56">E285*G285</f>
        <v>125580</v>
      </c>
    </row>
    <row r="286" spans="1:9" s="126" customFormat="1" ht="15" customHeight="1">
      <c r="A286" s="244"/>
      <c r="B286" s="110" t="s">
        <v>29</v>
      </c>
      <c r="C286" s="160"/>
      <c r="D286" s="110"/>
      <c r="E286" s="102" t="s">
        <v>34</v>
      </c>
      <c r="F286" s="110" t="s">
        <v>2</v>
      </c>
      <c r="G286" s="47">
        <v>36750</v>
      </c>
      <c r="H286" s="48">
        <f t="shared" si="56"/>
        <v>3675</v>
      </c>
    </row>
    <row r="287" spans="1:9" s="126" customFormat="1" ht="15" customHeight="1">
      <c r="A287" s="244"/>
      <c r="B287" s="110" t="s">
        <v>8</v>
      </c>
      <c r="C287" s="111"/>
      <c r="D287" s="110"/>
      <c r="E287" s="202">
        <v>0.1</v>
      </c>
      <c r="F287" s="110" t="s">
        <v>1</v>
      </c>
      <c r="G287" s="47">
        <v>57750</v>
      </c>
      <c r="H287" s="48">
        <f t="shared" si="56"/>
        <v>5775</v>
      </c>
      <c r="I287" s="155">
        <f>233*17000</f>
        <v>3961000</v>
      </c>
    </row>
    <row r="288" spans="1:9" s="126" customFormat="1" ht="15" customHeight="1">
      <c r="A288" s="244"/>
      <c r="B288" s="167" t="s">
        <v>20</v>
      </c>
      <c r="C288" s="167"/>
      <c r="D288" s="167"/>
      <c r="E288" s="200"/>
      <c r="F288" s="169"/>
      <c r="G288" s="167"/>
      <c r="H288" s="170">
        <f>130426-651</f>
        <v>129775</v>
      </c>
    </row>
    <row r="289" spans="1:9" s="58" customFormat="1" ht="20.399999999999999" customHeight="1">
      <c r="A289" s="113"/>
      <c r="B289" s="15"/>
      <c r="C289" s="15"/>
      <c r="D289" s="15"/>
      <c r="E289" s="199"/>
      <c r="F289" s="16"/>
      <c r="G289" s="15"/>
      <c r="H289" s="2">
        <f>SUM(H279:H288)</f>
        <v>3961000</v>
      </c>
      <c r="I289" s="112">
        <f>H289-I287</f>
        <v>0</v>
      </c>
    </row>
    <row r="290" spans="1:9" s="58" customFormat="1" ht="20.399999999999999" customHeight="1">
      <c r="A290" s="237" t="s">
        <v>136</v>
      </c>
      <c r="B290" s="41" t="s">
        <v>18</v>
      </c>
      <c r="C290" s="64">
        <f>E290/D290</f>
        <v>0.11931330472103005</v>
      </c>
      <c r="D290" s="22">
        <v>233</v>
      </c>
      <c r="E290" s="100" t="s">
        <v>56</v>
      </c>
      <c r="F290" s="41" t="s">
        <v>1</v>
      </c>
      <c r="G290" s="65">
        <v>21525</v>
      </c>
      <c r="H290" s="43">
        <f>E290*G290</f>
        <v>598395</v>
      </c>
      <c r="I290" s="112"/>
    </row>
    <row r="291" spans="1:9" s="58" customFormat="1" ht="20.399999999999999" customHeight="1">
      <c r="A291" s="238"/>
      <c r="B291" s="22" t="s">
        <v>52</v>
      </c>
      <c r="C291" s="66">
        <f t="shared" ref="C291:C292" si="57">E291/D291</f>
        <v>6.9527896995708147E-2</v>
      </c>
      <c r="D291" s="22">
        <v>233</v>
      </c>
      <c r="E291" s="85">
        <v>16.2</v>
      </c>
      <c r="F291" s="22" t="s">
        <v>1</v>
      </c>
      <c r="G291" s="47">
        <v>140700</v>
      </c>
      <c r="H291" s="48">
        <f>E291*G291-1892</f>
        <v>2277448</v>
      </c>
      <c r="I291" s="112"/>
    </row>
    <row r="292" spans="1:9" s="58" customFormat="1" ht="20.399999999999999" customHeight="1">
      <c r="A292" s="238"/>
      <c r="B292" s="22" t="s">
        <v>63</v>
      </c>
      <c r="C292" s="68">
        <f t="shared" si="57"/>
        <v>3.1759656652360517E-2</v>
      </c>
      <c r="D292" s="22">
        <v>233</v>
      </c>
      <c r="E292" s="178" t="s">
        <v>65</v>
      </c>
      <c r="F292" s="22" t="s">
        <v>1</v>
      </c>
      <c r="G292" s="47">
        <v>67200</v>
      </c>
      <c r="H292" s="48">
        <f>E292*G292</f>
        <v>497280</v>
      </c>
      <c r="I292" s="112"/>
    </row>
    <row r="293" spans="1:9" s="58" customFormat="1" ht="20.399999999999999" customHeight="1">
      <c r="A293" s="238"/>
      <c r="B293" s="22" t="s">
        <v>47</v>
      </c>
      <c r="C293" s="68"/>
      <c r="D293" s="22">
        <v>233</v>
      </c>
      <c r="E293" s="193" t="s">
        <v>35</v>
      </c>
      <c r="F293" s="22" t="s">
        <v>1</v>
      </c>
      <c r="G293" s="47">
        <v>78750</v>
      </c>
      <c r="H293" s="48">
        <f t="shared" ref="H293:H297" si="58">E293*G293</f>
        <v>236250</v>
      </c>
      <c r="I293" s="112">
        <f>233*17000</f>
        <v>3961000</v>
      </c>
    </row>
    <row r="294" spans="1:9" s="58" customFormat="1" ht="20.399999999999999" customHeight="1">
      <c r="A294" s="238"/>
      <c r="B294" s="22" t="s">
        <v>48</v>
      </c>
      <c r="C294" s="68"/>
      <c r="D294" s="22">
        <v>233</v>
      </c>
      <c r="E294" s="193" t="s">
        <v>140</v>
      </c>
      <c r="F294" s="22" t="s">
        <v>2</v>
      </c>
      <c r="G294" s="47">
        <v>20478</v>
      </c>
      <c r="H294" s="48">
        <f t="shared" si="58"/>
        <v>204780</v>
      </c>
      <c r="I294" s="112"/>
    </row>
    <row r="295" spans="1:9" s="58" customFormat="1" ht="20.399999999999999" customHeight="1">
      <c r="A295" s="238"/>
      <c r="B295" s="22" t="s">
        <v>50</v>
      </c>
      <c r="C295" s="22"/>
      <c r="D295" s="22"/>
      <c r="E295" s="193" t="s">
        <v>34</v>
      </c>
      <c r="F295" s="22" t="s">
        <v>1</v>
      </c>
      <c r="G295" s="47">
        <v>63000</v>
      </c>
      <c r="H295" s="48">
        <f t="shared" si="58"/>
        <v>6300</v>
      </c>
      <c r="I295" s="112"/>
    </row>
    <row r="296" spans="1:9" s="58" customFormat="1" ht="20.399999999999999" customHeight="1">
      <c r="A296" s="238"/>
      <c r="B296" s="22" t="s">
        <v>44</v>
      </c>
      <c r="C296" s="70"/>
      <c r="D296" s="22"/>
      <c r="E296" s="193" t="s">
        <v>34</v>
      </c>
      <c r="F296" s="22" t="s">
        <v>1</v>
      </c>
      <c r="G296" s="47">
        <v>60900</v>
      </c>
      <c r="H296" s="48">
        <f t="shared" si="58"/>
        <v>6090</v>
      </c>
      <c r="I296" s="112">
        <f>H299-I293</f>
        <v>0</v>
      </c>
    </row>
    <row r="297" spans="1:9" s="58" customFormat="1" ht="20.399999999999999" customHeight="1">
      <c r="A297" s="238"/>
      <c r="B297" s="22" t="s">
        <v>51</v>
      </c>
      <c r="C297" s="52"/>
      <c r="D297" s="22"/>
      <c r="E297" s="193" t="s">
        <v>34</v>
      </c>
      <c r="F297" s="22" t="s">
        <v>1</v>
      </c>
      <c r="G297" s="47">
        <v>42000</v>
      </c>
      <c r="H297" s="48">
        <f t="shared" si="58"/>
        <v>4200</v>
      </c>
      <c r="I297" s="112"/>
    </row>
    <row r="298" spans="1:9" s="58" customFormat="1" ht="20.399999999999999" customHeight="1">
      <c r="A298" s="180"/>
      <c r="B298" s="167" t="s">
        <v>20</v>
      </c>
      <c r="C298" s="167"/>
      <c r="D298" s="167"/>
      <c r="E298" s="200"/>
      <c r="F298" s="169"/>
      <c r="G298" s="167"/>
      <c r="H298" s="170">
        <f>130426-169</f>
        <v>130257</v>
      </c>
      <c r="I298" s="112"/>
    </row>
    <row r="299" spans="1:9" s="58" customFormat="1" ht="20.399999999999999" customHeight="1">
      <c r="A299" s="113"/>
      <c r="B299" s="181"/>
      <c r="C299" s="115"/>
      <c r="D299" s="181"/>
      <c r="E299" s="201"/>
      <c r="F299" s="181"/>
      <c r="G299" s="183"/>
      <c r="H299" s="184">
        <f>SUM(H290:H298)</f>
        <v>3961000</v>
      </c>
      <c r="I299" s="112">
        <f>H299-I293</f>
        <v>0</v>
      </c>
    </row>
    <row r="300" spans="1:9" s="58" customFormat="1" ht="15" customHeight="1">
      <c r="A300" s="230" t="s">
        <v>137</v>
      </c>
      <c r="B300" s="41" t="s">
        <v>18</v>
      </c>
      <c r="C300" s="64">
        <f>E300/D300</f>
        <v>0.11931330472103005</v>
      </c>
      <c r="D300" s="81">
        <v>233</v>
      </c>
      <c r="E300" s="101" t="s">
        <v>56</v>
      </c>
      <c r="F300" s="82" t="s">
        <v>1</v>
      </c>
      <c r="G300" s="65">
        <v>21525</v>
      </c>
      <c r="H300" s="83">
        <f>E300*G300</f>
        <v>598395</v>
      </c>
      <c r="I300" s="175"/>
    </row>
    <row r="301" spans="1:9" s="58" customFormat="1" ht="15" customHeight="1">
      <c r="A301" s="230"/>
      <c r="B301" s="110" t="s">
        <v>4</v>
      </c>
      <c r="C301" s="66">
        <f>E301/D301</f>
        <v>5.3218884120171672E-2</v>
      </c>
      <c r="D301" s="86">
        <v>233</v>
      </c>
      <c r="E301" s="102" t="s">
        <v>138</v>
      </c>
      <c r="F301" s="22" t="s">
        <v>1</v>
      </c>
      <c r="G301" s="87">
        <v>178200</v>
      </c>
      <c r="H301" s="48">
        <f t="shared" ref="H301:H306" si="59">E301*G301</f>
        <v>2209680</v>
      </c>
    </row>
    <row r="302" spans="1:9" s="58" customFormat="1" ht="15" customHeight="1">
      <c r="A302" s="230"/>
      <c r="B302" s="110" t="s">
        <v>26</v>
      </c>
      <c r="C302" s="66">
        <f t="shared" ref="C302:C304" si="60">E302/D302</f>
        <v>3.4334763948497854E-2</v>
      </c>
      <c r="D302" s="86">
        <v>233</v>
      </c>
      <c r="E302" s="102" t="s">
        <v>19</v>
      </c>
      <c r="F302" s="22" t="s">
        <v>1</v>
      </c>
      <c r="G302" s="87">
        <v>89250</v>
      </c>
      <c r="H302" s="48">
        <f t="shared" si="59"/>
        <v>714000</v>
      </c>
    </row>
    <row r="303" spans="1:9" s="58" customFormat="1" ht="15" customHeight="1">
      <c r="A303" s="230"/>
      <c r="B303" s="110" t="s">
        <v>28</v>
      </c>
      <c r="C303" s="66">
        <f t="shared" si="60"/>
        <v>4.2918454935622317E-3</v>
      </c>
      <c r="D303" s="86">
        <v>233</v>
      </c>
      <c r="E303" s="85">
        <v>1</v>
      </c>
      <c r="F303" s="22" t="s">
        <v>2</v>
      </c>
      <c r="G303" s="47">
        <v>137550</v>
      </c>
      <c r="H303" s="48">
        <f t="shared" si="59"/>
        <v>137550</v>
      </c>
    </row>
    <row r="304" spans="1:9" s="58" customFormat="1" ht="15" customHeight="1">
      <c r="A304" s="171"/>
      <c r="B304" s="84" t="s">
        <v>73</v>
      </c>
      <c r="C304" s="85">
        <f t="shared" si="60"/>
        <v>4.2918454935622321E-4</v>
      </c>
      <c r="D304" s="86">
        <v>233</v>
      </c>
      <c r="E304" s="85">
        <v>0.1</v>
      </c>
      <c r="F304" s="22" t="s">
        <v>2</v>
      </c>
      <c r="G304" s="47">
        <v>36750</v>
      </c>
      <c r="H304" s="48">
        <f t="shared" si="59"/>
        <v>3675</v>
      </c>
    </row>
    <row r="305" spans="1:9" s="58" customFormat="1" ht="15" customHeight="1">
      <c r="A305" s="171"/>
      <c r="B305" s="84" t="s">
        <v>69</v>
      </c>
      <c r="C305" s="85"/>
      <c r="D305" s="88"/>
      <c r="E305" s="99">
        <v>6.7</v>
      </c>
      <c r="F305" s="22" t="s">
        <v>1</v>
      </c>
      <c r="G305" s="47">
        <v>24150</v>
      </c>
      <c r="H305" s="48">
        <f t="shared" si="59"/>
        <v>161805</v>
      </c>
    </row>
    <row r="306" spans="1:9" s="58" customFormat="1" ht="15" customHeight="1">
      <c r="A306" s="171"/>
      <c r="B306" s="22" t="s">
        <v>44</v>
      </c>
      <c r="C306" s="70"/>
      <c r="D306" s="22"/>
      <c r="E306" s="193" t="s">
        <v>34</v>
      </c>
      <c r="F306" s="22" t="s">
        <v>1</v>
      </c>
      <c r="G306" s="47">
        <v>57750</v>
      </c>
      <c r="H306" s="48">
        <f t="shared" si="59"/>
        <v>5775</v>
      </c>
    </row>
    <row r="307" spans="1:9" s="58" customFormat="1" ht="15" customHeight="1">
      <c r="A307" s="171"/>
      <c r="B307" s="89" t="s">
        <v>20</v>
      </c>
      <c r="C307" s="70"/>
      <c r="D307" s="90"/>
      <c r="E307" s="91"/>
      <c r="F307" s="86" t="s">
        <v>1</v>
      </c>
      <c r="G307" s="47"/>
      <c r="H307" s="57">
        <f>130426-306</f>
        <v>130120</v>
      </c>
      <c r="I307" s="189">
        <f>233*17000</f>
        <v>3961000</v>
      </c>
    </row>
    <row r="308" spans="1:9" s="79" customFormat="1" ht="19.8" customHeight="1">
      <c r="A308" s="117"/>
      <c r="B308" s="94"/>
      <c r="C308" s="94"/>
      <c r="D308" s="94"/>
      <c r="E308" s="103"/>
      <c r="F308" s="119"/>
      <c r="G308" s="94"/>
      <c r="H308" s="120">
        <f>SUM(H300:H307)</f>
        <v>3961000</v>
      </c>
      <c r="I308" s="97">
        <f>H308-I307</f>
        <v>0</v>
      </c>
    </row>
    <row r="309" spans="1:9">
      <c r="A309" s="35"/>
      <c r="B309" s="35"/>
      <c r="C309" s="35"/>
      <c r="D309" s="35"/>
      <c r="E309" s="203"/>
    </row>
    <row r="310" spans="1:9" ht="18">
      <c r="A310" s="231" t="s">
        <v>22</v>
      </c>
      <c r="B310" s="231"/>
      <c r="C310" s="231" t="s">
        <v>23</v>
      </c>
      <c r="D310" s="231"/>
      <c r="E310" s="231"/>
      <c r="F310" s="1"/>
      <c r="G310" s="231" t="s">
        <v>24</v>
      </c>
      <c r="H310" s="231"/>
    </row>
    <row r="311" spans="1:9" ht="18">
      <c r="A311" s="18"/>
      <c r="B311" s="18"/>
      <c r="C311" s="18"/>
      <c r="D311" s="18"/>
      <c r="E311" s="18"/>
      <c r="F311" s="1"/>
      <c r="G311" s="18"/>
      <c r="H311" s="18"/>
    </row>
    <row r="312" spans="1:9" ht="18">
      <c r="A312" s="18"/>
      <c r="B312" s="18"/>
      <c r="C312" s="18"/>
      <c r="D312" s="18"/>
      <c r="E312" s="18"/>
      <c r="F312" s="1"/>
      <c r="G312" s="18"/>
      <c r="H312" s="18"/>
    </row>
    <row r="313" spans="1:9" ht="18">
      <c r="A313" s="18"/>
      <c r="B313" s="18"/>
      <c r="C313" s="18"/>
      <c r="D313" s="18"/>
      <c r="E313" s="18"/>
      <c r="F313" s="1"/>
      <c r="G313" s="18"/>
      <c r="H313" s="18"/>
    </row>
    <row r="314" spans="1:9" ht="18">
      <c r="A314" s="18"/>
      <c r="B314" s="18"/>
      <c r="C314" s="18"/>
      <c r="D314" s="18"/>
      <c r="E314" s="18"/>
      <c r="F314" s="1"/>
      <c r="G314" s="18"/>
      <c r="H314" s="18"/>
    </row>
    <row r="315" spans="1:9" ht="18">
      <c r="A315" s="18"/>
      <c r="B315" s="18"/>
      <c r="C315" s="18"/>
      <c r="D315" s="18"/>
      <c r="E315" s="18"/>
      <c r="F315" s="1"/>
      <c r="G315" s="18"/>
      <c r="H315" s="18"/>
    </row>
    <row r="316" spans="1:9" ht="18">
      <c r="A316" s="18"/>
      <c r="B316" s="18"/>
      <c r="C316" s="18"/>
      <c r="D316" s="18"/>
      <c r="E316" s="18"/>
      <c r="F316" s="1"/>
      <c r="G316" s="18"/>
      <c r="H316" s="18"/>
    </row>
    <row r="317" spans="1:9" ht="18">
      <c r="A317" s="18"/>
      <c r="B317" s="18"/>
      <c r="C317" s="18"/>
      <c r="D317" s="18"/>
      <c r="E317" s="18"/>
      <c r="F317" s="1"/>
      <c r="G317" s="18"/>
      <c r="H317" s="18"/>
    </row>
    <row r="318" spans="1:9" ht="18">
      <c r="A318" s="18"/>
      <c r="B318" s="18"/>
      <c r="C318" s="18"/>
      <c r="D318" s="18"/>
      <c r="E318" s="18"/>
      <c r="F318" s="1"/>
      <c r="G318" s="18"/>
      <c r="H318" s="18"/>
    </row>
    <row r="319" spans="1:9" ht="18">
      <c r="A319" s="18"/>
      <c r="B319" s="18"/>
      <c r="C319" s="18"/>
      <c r="D319" s="18"/>
      <c r="E319" s="18"/>
      <c r="F319" s="1"/>
      <c r="G319" s="18"/>
      <c r="H319" s="18"/>
    </row>
    <row r="320" spans="1:9" ht="18">
      <c r="A320" s="18"/>
      <c r="B320" s="18"/>
      <c r="C320" s="18"/>
      <c r="D320" s="18"/>
      <c r="E320" s="18"/>
      <c r="F320" s="1"/>
      <c r="G320" s="18"/>
      <c r="H320" s="18"/>
    </row>
    <row r="321" spans="1:8" ht="18">
      <c r="A321" s="18"/>
      <c r="B321" s="18"/>
      <c r="C321" s="18"/>
      <c r="D321" s="18"/>
      <c r="E321" s="18"/>
      <c r="F321" s="1"/>
      <c r="G321" s="18"/>
      <c r="H321" s="18"/>
    </row>
    <row r="322" spans="1:8" ht="18">
      <c r="A322" s="18"/>
      <c r="B322" s="18"/>
      <c r="C322" s="18"/>
      <c r="D322" s="18"/>
      <c r="E322" s="18"/>
      <c r="F322" s="1"/>
      <c r="G322" s="18"/>
      <c r="H322" s="18"/>
    </row>
    <row r="323" spans="1:8" ht="18">
      <c r="A323" s="18"/>
      <c r="B323" s="18"/>
      <c r="C323" s="18"/>
      <c r="D323" s="18"/>
      <c r="E323" s="18"/>
      <c r="F323" s="1"/>
      <c r="G323" s="18"/>
      <c r="H323" s="18"/>
    </row>
    <row r="324" spans="1:8" ht="18">
      <c r="A324" s="18"/>
      <c r="B324" s="18"/>
      <c r="C324" s="18"/>
      <c r="D324" s="18"/>
      <c r="E324" s="18"/>
      <c r="F324" s="1"/>
      <c r="G324" s="18"/>
      <c r="H324" s="18"/>
    </row>
    <row r="325" spans="1:8" ht="18">
      <c r="A325" s="18"/>
      <c r="B325" s="18"/>
      <c r="C325" s="18"/>
      <c r="D325" s="18"/>
      <c r="E325" s="18"/>
      <c r="F325" s="1"/>
      <c r="G325" s="18"/>
      <c r="H325" s="18"/>
    </row>
    <row r="326" spans="1:8" ht="18">
      <c r="A326" s="18"/>
      <c r="B326" s="18"/>
      <c r="C326" s="18"/>
      <c r="D326" s="18"/>
      <c r="E326" s="18"/>
      <c r="F326" s="1"/>
      <c r="G326" s="18"/>
      <c r="H326" s="18"/>
    </row>
    <row r="327" spans="1:8" ht="18">
      <c r="A327" s="18"/>
      <c r="B327" s="18"/>
      <c r="C327" s="18"/>
      <c r="D327" s="18"/>
      <c r="E327" s="18"/>
      <c r="F327" s="1"/>
      <c r="G327" s="18"/>
      <c r="H327" s="18"/>
    </row>
    <row r="328" spans="1:8" ht="18">
      <c r="A328" s="18"/>
      <c r="B328" s="18"/>
      <c r="C328" s="18"/>
      <c r="D328" s="18"/>
      <c r="E328" s="18"/>
      <c r="F328" s="1"/>
      <c r="G328" s="18"/>
      <c r="H328" s="18"/>
    </row>
    <row r="329" spans="1:8" ht="18">
      <c r="A329" s="18"/>
      <c r="B329" s="18"/>
      <c r="C329" s="18"/>
      <c r="D329" s="18"/>
      <c r="E329" s="18"/>
      <c r="F329" s="1"/>
      <c r="G329" s="18"/>
      <c r="H329" s="18"/>
    </row>
    <row r="330" spans="1:8" ht="18">
      <c r="A330" s="18"/>
      <c r="B330" s="18"/>
      <c r="C330" s="18"/>
      <c r="D330" s="18"/>
      <c r="E330" s="18"/>
      <c r="F330" s="1"/>
      <c r="G330" s="18"/>
      <c r="H330" s="18"/>
    </row>
    <row r="331" spans="1:8" ht="18">
      <c r="A331" s="18"/>
      <c r="B331" s="18"/>
      <c r="C331" s="18"/>
      <c r="D331" s="18"/>
      <c r="E331" s="18"/>
      <c r="F331" s="1"/>
      <c r="G331" s="18"/>
      <c r="H331" s="18"/>
    </row>
    <row r="332" spans="1:8" ht="18">
      <c r="A332" s="18"/>
      <c r="B332" s="18"/>
      <c r="C332" s="18"/>
      <c r="D332" s="18"/>
      <c r="E332" s="18"/>
      <c r="F332" s="1"/>
      <c r="G332" s="18"/>
      <c r="H332" s="18"/>
    </row>
    <row r="333" spans="1:8" ht="18">
      <c r="A333" s="18"/>
      <c r="B333" s="18"/>
      <c r="C333" s="18"/>
      <c r="D333" s="18"/>
      <c r="E333" s="18"/>
      <c r="F333" s="1"/>
      <c r="G333" s="18"/>
      <c r="H333" s="18"/>
    </row>
    <row r="334" spans="1:8" ht="18">
      <c r="A334" s="18"/>
      <c r="B334" s="18"/>
      <c r="C334" s="18"/>
      <c r="D334" s="18"/>
      <c r="E334" s="18"/>
      <c r="F334" s="1"/>
      <c r="G334" s="18"/>
      <c r="H334" s="18"/>
    </row>
    <row r="335" spans="1:8" ht="18">
      <c r="A335" s="18"/>
      <c r="B335" s="18"/>
      <c r="C335" s="18"/>
      <c r="D335" s="18"/>
      <c r="E335" s="18"/>
      <c r="F335" s="1"/>
      <c r="G335" s="18"/>
      <c r="H335" s="18"/>
    </row>
    <row r="336" spans="1:8" ht="18">
      <c r="A336" s="18"/>
      <c r="B336" s="18"/>
      <c r="C336" s="18"/>
      <c r="D336" s="18"/>
      <c r="E336" s="18"/>
      <c r="F336" s="1"/>
      <c r="G336" s="18"/>
      <c r="H336" s="18"/>
    </row>
    <row r="337" spans="1:10" ht="18">
      <c r="A337" s="18"/>
      <c r="B337" s="18"/>
      <c r="C337" s="18"/>
      <c r="D337" s="18"/>
      <c r="E337" s="18"/>
      <c r="F337" s="1"/>
      <c r="G337" s="18"/>
      <c r="H337" s="18"/>
    </row>
    <row r="345" spans="1:10" ht="15.6">
      <c r="A345" s="3" t="s">
        <v>0</v>
      </c>
      <c r="B345" s="3"/>
    </row>
    <row r="346" spans="1:10" s="38" customFormat="1" ht="16.8" customHeight="1">
      <c r="A346" s="231" t="s">
        <v>79</v>
      </c>
      <c r="B346" s="231"/>
      <c r="C346" s="231"/>
      <c r="D346" s="231"/>
      <c r="E346" s="231"/>
      <c r="F346" s="231"/>
      <c r="G346" s="231"/>
      <c r="H346" s="231"/>
      <c r="I346" s="95">
        <f>1996200/15</f>
        <v>133080</v>
      </c>
    </row>
    <row r="347" spans="1:10" s="38" customFormat="1" ht="16.8" customHeight="1">
      <c r="A347" s="37"/>
      <c r="B347" s="232" t="s">
        <v>124</v>
      </c>
      <c r="C347" s="232"/>
      <c r="D347" s="232"/>
      <c r="E347" s="232"/>
      <c r="F347" s="232"/>
      <c r="G347" s="232"/>
      <c r="H347" s="232"/>
    </row>
    <row r="348" spans="1:10" ht="15" customHeight="1">
      <c r="A348" s="4" t="s">
        <v>11</v>
      </c>
      <c r="B348" s="5" t="s">
        <v>12</v>
      </c>
      <c r="C348" s="6" t="s">
        <v>13</v>
      </c>
      <c r="D348" s="7" t="s">
        <v>14</v>
      </c>
      <c r="E348" s="4" t="s">
        <v>15</v>
      </c>
      <c r="F348" s="8" t="s">
        <v>3</v>
      </c>
      <c r="G348" s="4" t="s">
        <v>16</v>
      </c>
      <c r="H348" s="4" t="s">
        <v>17</v>
      </c>
      <c r="J348" s="11" t="e">
        <f>#REF!*#REF!</f>
        <v>#REF!</v>
      </c>
    </row>
    <row r="349" spans="1:10" s="45" customFormat="1" ht="15" customHeight="1">
      <c r="A349" s="240" t="s">
        <v>125</v>
      </c>
      <c r="B349" s="39" t="s">
        <v>7</v>
      </c>
      <c r="C349" s="40">
        <f>E349/D349</f>
        <v>0.11974248927038626</v>
      </c>
      <c r="D349" s="22">
        <v>233</v>
      </c>
      <c r="E349" s="98">
        <v>27.9</v>
      </c>
      <c r="F349" s="41" t="s">
        <v>1</v>
      </c>
      <c r="G349" s="42">
        <v>21525</v>
      </c>
      <c r="H349" s="43">
        <f>E349*G349</f>
        <v>600547.5</v>
      </c>
      <c r="I349" s="44"/>
      <c r="J349" s="48" t="e">
        <f>#REF!*#REF!</f>
        <v>#REF!</v>
      </c>
    </row>
    <row r="350" spans="1:10" s="45" customFormat="1" ht="15" customHeight="1">
      <c r="A350" s="241"/>
      <c r="B350" s="22" t="s">
        <v>30</v>
      </c>
      <c r="C350" s="22">
        <f>E350/D350</f>
        <v>5.9227467811158799E-2</v>
      </c>
      <c r="D350" s="22">
        <v>233</v>
      </c>
      <c r="E350" s="85">
        <v>13.8</v>
      </c>
      <c r="F350" s="22" t="s">
        <v>1</v>
      </c>
      <c r="G350" s="47">
        <v>169560</v>
      </c>
      <c r="H350" s="48">
        <f>E350*G350</f>
        <v>2339928</v>
      </c>
      <c r="I350" s="51">
        <f>233*17000</f>
        <v>3961000</v>
      </c>
      <c r="J350" s="48" t="e">
        <f>#REF!*#REF!</f>
        <v>#REF!</v>
      </c>
    </row>
    <row r="351" spans="1:10" s="45" customFormat="1" ht="15" customHeight="1">
      <c r="A351" s="242"/>
      <c r="B351" s="22" t="s">
        <v>31</v>
      </c>
      <c r="C351" s="22">
        <f t="shared" ref="C351:C353" si="61">E351/D351</f>
        <v>0.5622317596566524</v>
      </c>
      <c r="D351" s="22">
        <v>233</v>
      </c>
      <c r="E351" s="85">
        <v>131</v>
      </c>
      <c r="F351" s="22" t="s">
        <v>1</v>
      </c>
      <c r="G351" s="47">
        <v>3456</v>
      </c>
      <c r="H351" s="48">
        <f t="shared" ref="H351:H356" si="62">E351*G351</f>
        <v>452736</v>
      </c>
      <c r="I351" s="55">
        <f>I350-H358</f>
        <v>0.5</v>
      </c>
      <c r="J351" s="48" t="e">
        <f>#REF!*#REF!</f>
        <v>#REF!</v>
      </c>
    </row>
    <row r="352" spans="1:10" s="45" customFormat="1" ht="15" customHeight="1">
      <c r="A352" s="242"/>
      <c r="B352" s="22" t="s">
        <v>32</v>
      </c>
      <c r="C352" s="22">
        <f t="shared" si="61"/>
        <v>2.6180257510729613E-2</v>
      </c>
      <c r="D352" s="22">
        <v>233</v>
      </c>
      <c r="E352" s="85">
        <v>6.1</v>
      </c>
      <c r="F352" s="22" t="s">
        <v>1</v>
      </c>
      <c r="G352" s="47">
        <v>23100</v>
      </c>
      <c r="H352" s="48">
        <f t="shared" si="62"/>
        <v>140910</v>
      </c>
      <c r="J352" s="48">
        <f>184800+136500</f>
        <v>321300</v>
      </c>
    </row>
    <row r="353" spans="1:10" s="45" customFormat="1" ht="15" customHeight="1">
      <c r="A353" s="242"/>
      <c r="B353" s="22" t="s">
        <v>72</v>
      </c>
      <c r="C353" s="66">
        <f t="shared" si="61"/>
        <v>4.2918454935622317E-3</v>
      </c>
      <c r="D353" s="22">
        <v>233</v>
      </c>
      <c r="E353" s="85">
        <v>1</v>
      </c>
      <c r="F353" s="22" t="s">
        <v>2</v>
      </c>
      <c r="G353" s="47">
        <v>141750</v>
      </c>
      <c r="H353" s="48">
        <f t="shared" si="62"/>
        <v>141750</v>
      </c>
      <c r="I353" s="51">
        <f>229*17000</f>
        <v>3893000</v>
      </c>
      <c r="J353" s="48">
        <v>136716</v>
      </c>
    </row>
    <row r="354" spans="1:10" s="45" customFormat="1" ht="15" customHeight="1">
      <c r="A354" s="242"/>
      <c r="B354" s="22" t="s">
        <v>40</v>
      </c>
      <c r="C354" s="85"/>
      <c r="D354" s="22"/>
      <c r="E354" s="85">
        <v>0.1</v>
      </c>
      <c r="F354" s="22" t="s">
        <v>2</v>
      </c>
      <c r="G354" s="47">
        <v>36750</v>
      </c>
      <c r="H354" s="48">
        <f t="shared" si="62"/>
        <v>3675</v>
      </c>
      <c r="I354" s="55">
        <f>H358-I353</f>
        <v>67999.5</v>
      </c>
      <c r="J354" s="56"/>
    </row>
    <row r="355" spans="1:10" s="45" customFormat="1" ht="15" customHeight="1">
      <c r="A355" s="242"/>
      <c r="B355" s="84" t="s">
        <v>73</v>
      </c>
      <c r="C355" s="85"/>
      <c r="D355" s="88"/>
      <c r="E355" s="99">
        <v>7.7</v>
      </c>
      <c r="F355" s="22" t="s">
        <v>1</v>
      </c>
      <c r="G355" s="47">
        <v>18900</v>
      </c>
      <c r="H355" s="48">
        <f t="shared" si="62"/>
        <v>145530</v>
      </c>
      <c r="I355" s="55"/>
      <c r="J355" s="56"/>
    </row>
    <row r="356" spans="1:10" s="45" customFormat="1" ht="15" customHeight="1">
      <c r="A356" s="242"/>
      <c r="B356" s="22" t="s">
        <v>8</v>
      </c>
      <c r="C356" s="22"/>
      <c r="D356" s="22"/>
      <c r="E356" s="85">
        <v>0.1</v>
      </c>
      <c r="F356" s="22" t="s">
        <v>1</v>
      </c>
      <c r="G356" s="47">
        <v>57750</v>
      </c>
      <c r="H356" s="48">
        <f t="shared" si="62"/>
        <v>5775</v>
      </c>
      <c r="J356" s="56"/>
    </row>
    <row r="357" spans="1:10" s="45" customFormat="1" ht="15" customHeight="1">
      <c r="A357" s="242"/>
      <c r="B357" s="52" t="s">
        <v>20</v>
      </c>
      <c r="C357" s="52"/>
      <c r="D357" s="52"/>
      <c r="E357" s="196"/>
      <c r="F357" s="54"/>
      <c r="G357" s="52"/>
      <c r="H357" s="170">
        <f>130426-278</f>
        <v>130148</v>
      </c>
      <c r="J357" s="56"/>
    </row>
    <row r="358" spans="1:10" s="72" customFormat="1" ht="22.2" customHeight="1">
      <c r="A358" s="243"/>
      <c r="B358" s="185"/>
      <c r="C358" s="185"/>
      <c r="D358" s="185"/>
      <c r="E358" s="204"/>
      <c r="F358" s="186"/>
      <c r="G358" s="185"/>
      <c r="H358" s="187">
        <f>SUM(H349:H357)</f>
        <v>3960999.5</v>
      </c>
      <c r="I358" s="71">
        <f>H358-I350</f>
        <v>-0.5</v>
      </c>
    </row>
    <row r="359" spans="1:10" s="45" customFormat="1" ht="15" customHeight="1">
      <c r="A359" s="233" t="s">
        <v>126</v>
      </c>
      <c r="B359" s="41" t="s">
        <v>18</v>
      </c>
      <c r="C359" s="64">
        <f>E359/D359</f>
        <v>0.11982758620689656</v>
      </c>
      <c r="D359" s="81">
        <v>232</v>
      </c>
      <c r="E359" s="101" t="s">
        <v>56</v>
      </c>
      <c r="F359" s="82" t="s">
        <v>1</v>
      </c>
      <c r="G359" s="65">
        <v>21525</v>
      </c>
      <c r="H359" s="83">
        <f>E359*G359</f>
        <v>598395</v>
      </c>
      <c r="I359" s="96">
        <f>H358-I350</f>
        <v>-0.5</v>
      </c>
    </row>
    <row r="360" spans="1:10" s="45" customFormat="1" ht="15" customHeight="1">
      <c r="A360" s="234"/>
      <c r="B360" s="84" t="s">
        <v>37</v>
      </c>
      <c r="C360" s="66">
        <f>E360/D360</f>
        <v>5.3017241379310347E-2</v>
      </c>
      <c r="D360" s="86">
        <v>232</v>
      </c>
      <c r="E360" s="102" t="s">
        <v>107</v>
      </c>
      <c r="F360" s="22" t="s">
        <v>1</v>
      </c>
      <c r="G360" s="87">
        <v>178200</v>
      </c>
      <c r="H360" s="48">
        <f t="shared" ref="H360:H365" si="63">E360*G360</f>
        <v>2191860</v>
      </c>
      <c r="I360" s="50">
        <f>232*17000</f>
        <v>3944000</v>
      </c>
    </row>
    <row r="361" spans="1:10" s="45" customFormat="1" ht="15" customHeight="1">
      <c r="A361" s="234"/>
      <c r="B361" s="84" t="s">
        <v>38</v>
      </c>
      <c r="C361" s="66">
        <f t="shared" ref="C361:C363" si="64">E361/D361</f>
        <v>3.4482758620689655E-2</v>
      </c>
      <c r="D361" s="86">
        <v>232</v>
      </c>
      <c r="E361" s="102" t="s">
        <v>19</v>
      </c>
      <c r="F361" s="22" t="s">
        <v>1</v>
      </c>
      <c r="G361" s="87">
        <v>89250</v>
      </c>
      <c r="H361" s="48">
        <f t="shared" si="63"/>
        <v>714000</v>
      </c>
    </row>
    <row r="362" spans="1:10" s="45" customFormat="1" ht="15" customHeight="1">
      <c r="A362" s="234"/>
      <c r="B362" s="22" t="s">
        <v>72</v>
      </c>
      <c r="C362" s="66">
        <f t="shared" si="64"/>
        <v>4.3103448275862068E-3</v>
      </c>
      <c r="D362" s="86">
        <v>232</v>
      </c>
      <c r="E362" s="85">
        <v>1</v>
      </c>
      <c r="F362" s="22" t="s">
        <v>2</v>
      </c>
      <c r="G362" s="47">
        <v>137550</v>
      </c>
      <c r="H362" s="48">
        <f t="shared" si="63"/>
        <v>137550</v>
      </c>
      <c r="I362" s="59">
        <f>I360-H367</f>
        <v>0</v>
      </c>
    </row>
    <row r="363" spans="1:10" s="45" customFormat="1" ht="15" customHeight="1">
      <c r="A363" s="234"/>
      <c r="B363" s="22" t="s">
        <v>40</v>
      </c>
      <c r="C363" s="85">
        <f t="shared" si="64"/>
        <v>4.3103448275862074E-4</v>
      </c>
      <c r="D363" s="86">
        <v>232</v>
      </c>
      <c r="E363" s="85">
        <v>0.1</v>
      </c>
      <c r="F363" s="22" t="s">
        <v>2</v>
      </c>
      <c r="G363" s="47">
        <v>36750</v>
      </c>
      <c r="H363" s="48">
        <f t="shared" si="63"/>
        <v>3675</v>
      </c>
    </row>
    <row r="364" spans="1:10" s="45" customFormat="1" ht="15" customHeight="1">
      <c r="A364" s="234"/>
      <c r="B364" s="84" t="s">
        <v>69</v>
      </c>
      <c r="C364" s="85"/>
      <c r="D364" s="88"/>
      <c r="E364" s="99">
        <v>6.7</v>
      </c>
      <c r="F364" s="22" t="s">
        <v>1</v>
      </c>
      <c r="G364" s="47">
        <v>24150</v>
      </c>
      <c r="H364" s="48">
        <f t="shared" si="63"/>
        <v>161805</v>
      </c>
    </row>
    <row r="365" spans="1:10" s="45" customFormat="1" ht="15" customHeight="1">
      <c r="A365" s="234"/>
      <c r="B365" s="22" t="s">
        <v>44</v>
      </c>
      <c r="C365" s="70"/>
      <c r="D365" s="22"/>
      <c r="E365" s="193" t="s">
        <v>34</v>
      </c>
      <c r="F365" s="22" t="s">
        <v>1</v>
      </c>
      <c r="G365" s="47">
        <v>57750</v>
      </c>
      <c r="H365" s="48">
        <f t="shared" si="63"/>
        <v>5775</v>
      </c>
    </row>
    <row r="366" spans="1:10" s="45" customFormat="1" ht="15" customHeight="1">
      <c r="A366" s="235"/>
      <c r="B366" s="89" t="s">
        <v>20</v>
      </c>
      <c r="C366" s="70"/>
      <c r="D366" s="90"/>
      <c r="E366" s="91"/>
      <c r="F366" s="86" t="s">
        <v>1</v>
      </c>
      <c r="G366" s="47"/>
      <c r="H366" s="57">
        <f>130426+514</f>
        <v>130940</v>
      </c>
      <c r="I366" s="45">
        <v>130426</v>
      </c>
    </row>
    <row r="367" spans="1:10" s="72" customFormat="1" ht="18.600000000000001" customHeight="1">
      <c r="A367" s="73"/>
      <c r="B367" s="74"/>
      <c r="C367" s="75"/>
      <c r="D367" s="75"/>
      <c r="E367" s="197"/>
      <c r="F367" s="77"/>
      <c r="G367" s="74"/>
      <c r="H367" s="78">
        <f>SUM(H359:H366)</f>
        <v>3944000</v>
      </c>
      <c r="I367" s="97">
        <f>I360-H367</f>
        <v>0</v>
      </c>
    </row>
    <row r="368" spans="1:10" s="126" customFormat="1" ht="15" customHeight="1">
      <c r="A368" s="135"/>
      <c r="B368" s="9" t="s">
        <v>18</v>
      </c>
      <c r="C368" s="66">
        <f t="shared" ref="C368:C370" si="65">E368/D368</f>
        <v>1.2636363636363637</v>
      </c>
      <c r="D368" s="12">
        <v>22</v>
      </c>
      <c r="E368" s="177" t="s">
        <v>56</v>
      </c>
      <c r="F368" s="9" t="s">
        <v>1</v>
      </c>
      <c r="G368" s="10">
        <v>21525</v>
      </c>
      <c r="H368" s="11">
        <f>E368*G368</f>
        <v>598395</v>
      </c>
    </row>
    <row r="369" spans="1:9" s="126" customFormat="1" ht="15" customHeight="1">
      <c r="A369" s="244" t="s">
        <v>127</v>
      </c>
      <c r="B369" s="22" t="s">
        <v>52</v>
      </c>
      <c r="C369" s="66">
        <f t="shared" si="65"/>
        <v>7.2413793103448282E-2</v>
      </c>
      <c r="D369" s="22">
        <v>232</v>
      </c>
      <c r="E369" s="23">
        <v>16.8</v>
      </c>
      <c r="F369" s="22" t="s">
        <v>1</v>
      </c>
      <c r="G369" s="47">
        <v>140700</v>
      </c>
      <c r="H369" s="48">
        <f>E369*G369-1892</f>
        <v>2361868</v>
      </c>
    </row>
    <row r="370" spans="1:9" s="126" customFormat="1" ht="19.2" customHeight="1">
      <c r="A370" s="244"/>
      <c r="B370" s="22" t="s">
        <v>28</v>
      </c>
      <c r="C370" s="68">
        <f t="shared" si="65"/>
        <v>3.017241379310345E-2</v>
      </c>
      <c r="D370" s="22">
        <v>232</v>
      </c>
      <c r="E370" s="178" t="s">
        <v>64</v>
      </c>
      <c r="F370" s="22" t="s">
        <v>1</v>
      </c>
      <c r="G370" s="47">
        <v>67200</v>
      </c>
      <c r="H370" s="48">
        <f>E370*G370</f>
        <v>470400</v>
      </c>
      <c r="I370" s="149">
        <f>232*17000</f>
        <v>3944000</v>
      </c>
    </row>
    <row r="371" spans="1:9" s="126" customFormat="1" ht="15" customHeight="1">
      <c r="A371" s="244"/>
      <c r="B371" s="12" t="s">
        <v>32</v>
      </c>
      <c r="C371" s="12"/>
      <c r="D371" s="12">
        <v>232</v>
      </c>
      <c r="E371" s="106">
        <v>2.2000000000000002</v>
      </c>
      <c r="F371" s="12" t="s">
        <v>1</v>
      </c>
      <c r="G371" s="14">
        <v>21000</v>
      </c>
      <c r="H371" s="14">
        <f>E371*G371</f>
        <v>46200.000000000007</v>
      </c>
    </row>
    <row r="372" spans="1:9" s="126" customFormat="1" ht="15" customHeight="1">
      <c r="A372" s="244"/>
      <c r="B372" s="12" t="s">
        <v>33</v>
      </c>
      <c r="C372" s="12"/>
      <c r="D372" s="12">
        <v>232</v>
      </c>
      <c r="E372" s="106">
        <v>1</v>
      </c>
      <c r="F372" s="12" t="s">
        <v>1</v>
      </c>
      <c r="G372" s="14">
        <v>164850</v>
      </c>
      <c r="H372" s="14">
        <f t="shared" ref="H372:H376" si="66">E372*G372</f>
        <v>164850</v>
      </c>
    </row>
    <row r="373" spans="1:9" s="126" customFormat="1" ht="15" customHeight="1">
      <c r="A373" s="244"/>
      <c r="B373" s="110" t="s">
        <v>90</v>
      </c>
      <c r="C373" s="164"/>
      <c r="D373" s="110"/>
      <c r="E373" s="102" t="s">
        <v>92</v>
      </c>
      <c r="F373" s="110" t="s">
        <v>91</v>
      </c>
      <c r="G373" s="162">
        <v>37800</v>
      </c>
      <c r="H373" s="163">
        <f>E373*G373</f>
        <v>75600</v>
      </c>
    </row>
    <row r="374" spans="1:9" s="126" customFormat="1" ht="15" customHeight="1">
      <c r="A374" s="244"/>
      <c r="B374" s="12" t="s">
        <v>10</v>
      </c>
      <c r="C374" s="12"/>
      <c r="D374" s="12"/>
      <c r="E374" s="188">
        <v>4.0999999999999996</v>
      </c>
      <c r="F374" s="12" t="s">
        <v>1</v>
      </c>
      <c r="G374" s="13">
        <v>21000</v>
      </c>
      <c r="H374" s="14">
        <f t="shared" si="66"/>
        <v>86099.999999999985</v>
      </c>
    </row>
    <row r="375" spans="1:9" s="126" customFormat="1" ht="15" customHeight="1">
      <c r="A375" s="244"/>
      <c r="B375" s="12" t="s">
        <v>8</v>
      </c>
      <c r="C375" s="12"/>
      <c r="D375" s="12"/>
      <c r="E375" s="178" t="s">
        <v>34</v>
      </c>
      <c r="F375" s="12" t="s">
        <v>1</v>
      </c>
      <c r="G375" s="47">
        <v>57750</v>
      </c>
      <c r="H375" s="48">
        <f t="shared" si="66"/>
        <v>5775</v>
      </c>
      <c r="I375" s="155">
        <f>230*17000</f>
        <v>3910000</v>
      </c>
    </row>
    <row r="376" spans="1:9" s="126" customFormat="1" ht="15" customHeight="1">
      <c r="A376" s="244"/>
      <c r="B376" s="15" t="s">
        <v>29</v>
      </c>
      <c r="C376" s="20"/>
      <c r="D376" s="12"/>
      <c r="E376" s="179" t="s">
        <v>34</v>
      </c>
      <c r="F376" s="12" t="s">
        <v>1</v>
      </c>
      <c r="G376" s="47">
        <v>36750</v>
      </c>
      <c r="H376" s="48">
        <f t="shared" si="66"/>
        <v>3675</v>
      </c>
    </row>
    <row r="377" spans="1:9" s="126" customFormat="1" ht="15" customHeight="1">
      <c r="A377" s="143"/>
      <c r="B377" s="15" t="s">
        <v>20</v>
      </c>
      <c r="C377" s="15"/>
      <c r="D377" s="15"/>
      <c r="E377" s="199"/>
      <c r="F377" s="16"/>
      <c r="G377" s="15"/>
      <c r="H377" s="176">
        <f>130426+711</f>
        <v>131137</v>
      </c>
    </row>
    <row r="378" spans="1:9" s="58" customFormat="1" ht="20.399999999999999" customHeight="1">
      <c r="A378" s="113"/>
      <c r="B378" s="15"/>
      <c r="C378" s="15"/>
      <c r="D378" s="15"/>
      <c r="E378" s="199"/>
      <c r="F378" s="16"/>
      <c r="G378" s="15"/>
      <c r="H378" s="2">
        <f>SUM(H368:H377)</f>
        <v>3944000</v>
      </c>
      <c r="I378" s="112">
        <f>H378-I370</f>
        <v>0</v>
      </c>
    </row>
    <row r="379" spans="1:9" s="58" customFormat="1" ht="20.399999999999999" customHeight="1">
      <c r="A379" s="237" t="s">
        <v>128</v>
      </c>
      <c r="B379" s="39" t="s">
        <v>18</v>
      </c>
      <c r="C379" s="156">
        <f>E379/D379</f>
        <v>0.11982758620689656</v>
      </c>
      <c r="D379" s="110">
        <v>232</v>
      </c>
      <c r="E379" s="101" t="s">
        <v>56</v>
      </c>
      <c r="F379" s="157" t="s">
        <v>1</v>
      </c>
      <c r="G379" s="158">
        <v>21525</v>
      </c>
      <c r="H379" s="159">
        <f>E379*G379</f>
        <v>598395</v>
      </c>
      <c r="I379" s="112"/>
    </row>
    <row r="380" spans="1:9" s="58" customFormat="1" ht="20.399999999999999" customHeight="1">
      <c r="A380" s="238"/>
      <c r="B380" s="157" t="s">
        <v>87</v>
      </c>
      <c r="C380" s="160">
        <f t="shared" ref="C380:C382" si="67">E380/D380</f>
        <v>7.8879310344827591E-2</v>
      </c>
      <c r="D380" s="110">
        <v>232</v>
      </c>
      <c r="E380" s="101" t="s">
        <v>115</v>
      </c>
      <c r="F380" s="110" t="s">
        <v>1</v>
      </c>
      <c r="G380" s="158">
        <v>129150</v>
      </c>
      <c r="H380" s="163">
        <f>G380*E380</f>
        <v>2363445</v>
      </c>
      <c r="I380" s="112"/>
    </row>
    <row r="381" spans="1:9" s="58" customFormat="1" ht="20.399999999999999" customHeight="1">
      <c r="A381" s="238"/>
      <c r="B381" s="22" t="s">
        <v>72</v>
      </c>
      <c r="C381" s="66">
        <f t="shared" si="67"/>
        <v>4.3103448275862068E-3</v>
      </c>
      <c r="D381" s="86">
        <v>232</v>
      </c>
      <c r="E381" s="85">
        <v>1</v>
      </c>
      <c r="F381" s="22" t="s">
        <v>2</v>
      </c>
      <c r="G381" s="47">
        <v>137550</v>
      </c>
      <c r="H381" s="48">
        <f t="shared" ref="H381" si="68">E381*G381</f>
        <v>137550</v>
      </c>
      <c r="I381" s="112"/>
    </row>
    <row r="382" spans="1:9" s="58" customFormat="1" ht="20.399999999999999" customHeight="1">
      <c r="A382" s="238"/>
      <c r="B382" s="110" t="s">
        <v>5</v>
      </c>
      <c r="C382" s="164">
        <f t="shared" si="67"/>
        <v>0.56465517241379315</v>
      </c>
      <c r="D382" s="110">
        <v>232</v>
      </c>
      <c r="E382" s="102" t="s">
        <v>88</v>
      </c>
      <c r="F382" s="110" t="s">
        <v>1</v>
      </c>
      <c r="G382" s="162">
        <v>3510</v>
      </c>
      <c r="H382" s="163">
        <f>E382*G382</f>
        <v>459810</v>
      </c>
      <c r="I382" s="112">
        <f>232*17000</f>
        <v>3944000</v>
      </c>
    </row>
    <row r="383" spans="1:9" s="58" customFormat="1" ht="20.399999999999999" customHeight="1">
      <c r="A383" s="238"/>
      <c r="B383" s="110" t="s">
        <v>90</v>
      </c>
      <c r="C383" s="164"/>
      <c r="D383" s="110"/>
      <c r="E383" s="102" t="s">
        <v>92</v>
      </c>
      <c r="F383" s="110" t="s">
        <v>91</v>
      </c>
      <c r="G383" s="162">
        <v>37800</v>
      </c>
      <c r="H383" s="163">
        <f>E383*G383</f>
        <v>75600</v>
      </c>
      <c r="I383" s="112"/>
    </row>
    <row r="384" spans="1:9" s="58" customFormat="1" ht="20.399999999999999" customHeight="1">
      <c r="A384" s="238"/>
      <c r="B384" s="110" t="s">
        <v>100</v>
      </c>
      <c r="C384" s="164"/>
      <c r="D384" s="110"/>
      <c r="E384" s="102" t="s">
        <v>21</v>
      </c>
      <c r="F384" s="110" t="s">
        <v>2</v>
      </c>
      <c r="G384" s="162">
        <v>44280</v>
      </c>
      <c r="H384" s="163">
        <f>E384*G384</f>
        <v>44280</v>
      </c>
      <c r="I384" s="112"/>
    </row>
    <row r="385" spans="1:9" s="58" customFormat="1" ht="20.399999999999999" customHeight="1">
      <c r="A385" s="238"/>
      <c r="B385" s="110" t="s">
        <v>101</v>
      </c>
      <c r="C385" s="164"/>
      <c r="D385" s="110"/>
      <c r="E385" s="102" t="s">
        <v>130</v>
      </c>
      <c r="F385" s="110" t="s">
        <v>1</v>
      </c>
      <c r="G385" s="162">
        <v>24150</v>
      </c>
      <c r="H385" s="163">
        <f t="shared" ref="H385:H387" si="69">E385*G385</f>
        <v>125580</v>
      </c>
      <c r="I385" s="112">
        <f>H389-I382</f>
        <v>0</v>
      </c>
    </row>
    <row r="386" spans="1:9" s="58" customFormat="1" ht="20.399999999999999" customHeight="1">
      <c r="A386" s="238"/>
      <c r="B386" s="110" t="s">
        <v>29</v>
      </c>
      <c r="C386" s="160"/>
      <c r="D386" s="110"/>
      <c r="E386" s="102" t="s">
        <v>34</v>
      </c>
      <c r="F386" s="110" t="s">
        <v>2</v>
      </c>
      <c r="G386" s="47">
        <v>36750</v>
      </c>
      <c r="H386" s="48">
        <f t="shared" si="69"/>
        <v>3675</v>
      </c>
      <c r="I386" s="112"/>
    </row>
    <row r="387" spans="1:9" s="58" customFormat="1" ht="20.399999999999999" customHeight="1">
      <c r="A387" s="180"/>
      <c r="B387" s="110" t="s">
        <v>8</v>
      </c>
      <c r="C387" s="111"/>
      <c r="D387" s="110"/>
      <c r="E387" s="202">
        <v>0.1</v>
      </c>
      <c r="F387" s="110" t="s">
        <v>1</v>
      </c>
      <c r="G387" s="47">
        <v>57750</v>
      </c>
      <c r="H387" s="48">
        <f t="shared" si="69"/>
        <v>5775</v>
      </c>
      <c r="I387" s="112"/>
    </row>
    <row r="388" spans="1:9" s="58" customFormat="1" ht="20.399999999999999" customHeight="1">
      <c r="A388" s="180"/>
      <c r="B388" s="167" t="s">
        <v>20</v>
      </c>
      <c r="C388" s="167"/>
      <c r="D388" s="167"/>
      <c r="E388" s="200"/>
      <c r="F388" s="169"/>
      <c r="G388" s="167"/>
      <c r="H388" s="170">
        <f>130426-536</f>
        <v>129890</v>
      </c>
      <c r="I388" s="112"/>
    </row>
    <row r="389" spans="1:9" s="58" customFormat="1" ht="20.399999999999999" customHeight="1">
      <c r="A389" s="113"/>
      <c r="B389" s="181"/>
      <c r="C389" s="115"/>
      <c r="D389" s="181"/>
      <c r="E389" s="201"/>
      <c r="F389" s="181"/>
      <c r="G389" s="183"/>
      <c r="H389" s="184">
        <f>SUM(H379:H388)</f>
        <v>3944000</v>
      </c>
      <c r="I389" s="112">
        <f>I382-H389</f>
        <v>0</v>
      </c>
    </row>
    <row r="390" spans="1:9" s="58" customFormat="1" ht="15" customHeight="1">
      <c r="A390" s="230" t="s">
        <v>129</v>
      </c>
      <c r="B390" s="41" t="s">
        <v>18</v>
      </c>
      <c r="C390" s="64">
        <f>E390/D390</f>
        <v>0.11982758620689656</v>
      </c>
      <c r="D390" s="22">
        <v>232</v>
      </c>
      <c r="E390" s="100" t="s">
        <v>56</v>
      </c>
      <c r="F390" s="41" t="s">
        <v>1</v>
      </c>
      <c r="G390" s="65">
        <v>21525</v>
      </c>
      <c r="H390" s="43">
        <f>E390*G390</f>
        <v>598395</v>
      </c>
      <c r="I390" s="175"/>
    </row>
    <row r="391" spans="1:9" s="58" customFormat="1" ht="15" customHeight="1">
      <c r="A391" s="230"/>
      <c r="B391" s="22" t="s">
        <v>52</v>
      </c>
      <c r="C391" s="66">
        <f t="shared" ref="C391:C392" si="70">E391/D391</f>
        <v>7.1120689655172417E-2</v>
      </c>
      <c r="D391" s="22">
        <v>232</v>
      </c>
      <c r="E391" s="85">
        <v>16.5</v>
      </c>
      <c r="F391" s="22" t="s">
        <v>1</v>
      </c>
      <c r="G391" s="47">
        <v>140700</v>
      </c>
      <c r="H391" s="48">
        <f>E391*G391-1892</f>
        <v>2319658</v>
      </c>
    </row>
    <row r="392" spans="1:9" s="58" customFormat="1" ht="15" customHeight="1">
      <c r="A392" s="230"/>
      <c r="B392" s="22" t="s">
        <v>31</v>
      </c>
      <c r="C392" s="68">
        <f t="shared" si="70"/>
        <v>0.56465517241379315</v>
      </c>
      <c r="D392" s="22">
        <v>232</v>
      </c>
      <c r="E392" s="193" t="s">
        <v>88</v>
      </c>
      <c r="F392" s="22" t="s">
        <v>1</v>
      </c>
      <c r="G392" s="47">
        <v>3456</v>
      </c>
      <c r="H392" s="48">
        <f>E392*G392</f>
        <v>452736</v>
      </c>
    </row>
    <row r="393" spans="1:9" s="58" customFormat="1" ht="15" customHeight="1">
      <c r="A393" s="230"/>
      <c r="B393" s="22" t="s">
        <v>47</v>
      </c>
      <c r="C393" s="68"/>
      <c r="D393" s="22">
        <v>232</v>
      </c>
      <c r="E393" s="193" t="s">
        <v>35</v>
      </c>
      <c r="F393" s="22" t="s">
        <v>1</v>
      </c>
      <c r="G393" s="47">
        <v>78750</v>
      </c>
      <c r="H393" s="48">
        <f t="shared" ref="H393:H397" si="71">E393*G393</f>
        <v>236250</v>
      </c>
    </row>
    <row r="394" spans="1:9" s="58" customFormat="1" ht="15" customHeight="1">
      <c r="A394" s="171"/>
      <c r="B394" s="22" t="s">
        <v>48</v>
      </c>
      <c r="C394" s="68"/>
      <c r="D394" s="22">
        <v>232</v>
      </c>
      <c r="E394" s="193" t="s">
        <v>39</v>
      </c>
      <c r="F394" s="22" t="s">
        <v>2</v>
      </c>
      <c r="G394" s="47">
        <v>18900</v>
      </c>
      <c r="H394" s="48">
        <f t="shared" si="71"/>
        <v>190890</v>
      </c>
    </row>
    <row r="395" spans="1:9" s="58" customFormat="1" ht="15" customHeight="1">
      <c r="A395" s="171"/>
      <c r="B395" s="22" t="s">
        <v>50</v>
      </c>
      <c r="C395" s="22"/>
      <c r="D395" s="22">
        <v>232</v>
      </c>
      <c r="E395" s="193" t="s">
        <v>34</v>
      </c>
      <c r="F395" s="22" t="s">
        <v>1</v>
      </c>
      <c r="G395" s="47">
        <v>63000</v>
      </c>
      <c r="H395" s="48">
        <f t="shared" si="71"/>
        <v>6300</v>
      </c>
    </row>
    <row r="396" spans="1:9" s="58" customFormat="1" ht="15" customHeight="1">
      <c r="A396" s="171"/>
      <c r="B396" s="22" t="s">
        <v>44</v>
      </c>
      <c r="C396" s="70"/>
      <c r="D396" s="22">
        <v>232</v>
      </c>
      <c r="E396" s="193" t="s">
        <v>34</v>
      </c>
      <c r="F396" s="22" t="s">
        <v>1</v>
      </c>
      <c r="G396" s="47">
        <v>57750</v>
      </c>
      <c r="H396" s="48">
        <f t="shared" si="71"/>
        <v>5775</v>
      </c>
    </row>
    <row r="397" spans="1:9" s="58" customFormat="1" ht="15" customHeight="1">
      <c r="A397" s="171"/>
      <c r="B397" s="110" t="s">
        <v>29</v>
      </c>
      <c r="C397" s="160"/>
      <c r="D397" s="110"/>
      <c r="E397" s="102" t="s">
        <v>34</v>
      </c>
      <c r="F397" s="110" t="s">
        <v>2</v>
      </c>
      <c r="G397" s="47">
        <v>36750</v>
      </c>
      <c r="H397" s="48">
        <f t="shared" si="71"/>
        <v>3675</v>
      </c>
    </row>
    <row r="398" spans="1:9" s="58" customFormat="1" ht="15" customHeight="1">
      <c r="A398" s="171"/>
      <c r="B398" s="52" t="s">
        <v>20</v>
      </c>
      <c r="C398" s="52"/>
      <c r="D398" s="22">
        <v>232</v>
      </c>
      <c r="E398" s="196"/>
      <c r="F398" s="54"/>
      <c r="G398" s="52"/>
      <c r="H398" s="57">
        <f>130426-105</f>
        <v>130321</v>
      </c>
    </row>
    <row r="399" spans="1:9" s="79" customFormat="1" ht="19.8" customHeight="1">
      <c r="A399" s="117"/>
      <c r="B399" s="94"/>
      <c r="C399" s="94"/>
      <c r="D399" s="94"/>
      <c r="E399" s="103"/>
      <c r="F399" s="119"/>
      <c r="G399" s="94"/>
      <c r="H399" s="120">
        <f>SUM(H390:H398)</f>
        <v>3944000</v>
      </c>
      <c r="I399" s="97">
        <f>H399-I382</f>
        <v>0</v>
      </c>
    </row>
    <row r="400" spans="1:9">
      <c r="A400" s="35"/>
      <c r="B400" s="35"/>
      <c r="C400" s="35"/>
      <c r="D400" s="35"/>
      <c r="E400" s="203"/>
    </row>
    <row r="401" spans="1:8" ht="18">
      <c r="A401" s="231" t="s">
        <v>22</v>
      </c>
      <c r="B401" s="231"/>
      <c r="C401" s="231" t="s">
        <v>23</v>
      </c>
      <c r="D401" s="231"/>
      <c r="E401" s="231"/>
      <c r="F401" s="1"/>
      <c r="G401" s="231" t="s">
        <v>24</v>
      </c>
      <c r="H401" s="231"/>
    </row>
    <row r="402" spans="1:8" ht="18">
      <c r="A402" s="18"/>
      <c r="B402" s="18"/>
      <c r="C402" s="18"/>
      <c r="D402" s="18"/>
      <c r="E402" s="18"/>
      <c r="F402" s="1"/>
      <c r="G402" s="18"/>
      <c r="H402" s="18"/>
    </row>
    <row r="403" spans="1:8" ht="18">
      <c r="A403" s="18"/>
      <c r="B403" s="18"/>
      <c r="C403" s="18"/>
      <c r="D403" s="18"/>
      <c r="E403" s="18"/>
      <c r="F403" s="1"/>
      <c r="G403" s="18"/>
      <c r="H403" s="18"/>
    </row>
    <row r="404" spans="1:8" ht="18">
      <c r="A404" s="18"/>
      <c r="B404" s="18"/>
      <c r="C404" s="18"/>
      <c r="D404" s="18"/>
      <c r="E404" s="18"/>
      <c r="F404" s="1"/>
      <c r="G404" s="18"/>
      <c r="H404" s="18"/>
    </row>
    <row r="405" spans="1:8" ht="18">
      <c r="A405" s="18"/>
      <c r="B405" s="18"/>
      <c r="C405" s="18"/>
      <c r="D405" s="18"/>
      <c r="E405" s="18"/>
      <c r="F405" s="1"/>
      <c r="G405" s="18"/>
      <c r="H405" s="18"/>
    </row>
    <row r="406" spans="1:8" ht="18">
      <c r="A406" s="18"/>
      <c r="B406" s="18"/>
      <c r="C406" s="18"/>
      <c r="D406" s="18"/>
      <c r="E406" s="18"/>
      <c r="F406" s="1"/>
      <c r="G406" s="18"/>
      <c r="H406" s="18"/>
    </row>
    <row r="407" spans="1:8" ht="18">
      <c r="A407" s="18"/>
      <c r="B407" s="18"/>
      <c r="C407" s="18"/>
      <c r="D407" s="18"/>
      <c r="E407" s="18"/>
      <c r="F407" s="1"/>
      <c r="G407" s="18"/>
      <c r="H407" s="18"/>
    </row>
    <row r="408" spans="1:8" ht="18">
      <c r="A408" s="18"/>
      <c r="B408" s="18"/>
      <c r="C408" s="18"/>
      <c r="D408" s="18"/>
      <c r="E408" s="18"/>
      <c r="F408" s="1"/>
      <c r="G408" s="18"/>
      <c r="H408" s="18"/>
    </row>
    <row r="409" spans="1:8" ht="18">
      <c r="A409" s="18"/>
      <c r="B409" s="18"/>
      <c r="C409" s="18"/>
      <c r="D409" s="18"/>
      <c r="E409" s="18"/>
      <c r="F409" s="1"/>
      <c r="G409" s="18"/>
      <c r="H409" s="18"/>
    </row>
    <row r="410" spans="1:8" ht="18">
      <c r="A410" s="18"/>
      <c r="B410" s="18"/>
      <c r="C410" s="18"/>
      <c r="D410" s="18"/>
      <c r="E410" s="18"/>
      <c r="F410" s="1"/>
      <c r="G410" s="18"/>
      <c r="H410" s="18"/>
    </row>
    <row r="411" spans="1:8" ht="18">
      <c r="A411" s="18"/>
      <c r="B411" s="18"/>
      <c r="C411" s="18"/>
      <c r="D411" s="18"/>
      <c r="E411" s="18"/>
      <c r="F411" s="1"/>
      <c r="G411" s="18"/>
      <c r="H411" s="18"/>
    </row>
    <row r="412" spans="1:8" ht="18">
      <c r="A412" s="18"/>
      <c r="B412" s="18"/>
      <c r="C412" s="18"/>
      <c r="D412" s="18"/>
      <c r="E412" s="18"/>
      <c r="F412" s="1"/>
      <c r="G412" s="18"/>
      <c r="H412" s="18"/>
    </row>
    <row r="413" spans="1:8" ht="18">
      <c r="A413" s="18"/>
      <c r="B413" s="18"/>
      <c r="C413" s="18"/>
      <c r="D413" s="18"/>
      <c r="E413" s="18"/>
      <c r="F413" s="1"/>
      <c r="G413" s="18"/>
      <c r="H413" s="18"/>
    </row>
    <row r="414" spans="1:8" ht="18">
      <c r="A414" s="18"/>
      <c r="B414" s="18"/>
      <c r="C414" s="18"/>
      <c r="D414" s="18"/>
      <c r="E414" s="18"/>
      <c r="F414" s="1"/>
      <c r="G414" s="18"/>
      <c r="H414" s="18"/>
    </row>
    <row r="415" spans="1:8" ht="18">
      <c r="A415" s="18"/>
      <c r="B415" s="18"/>
      <c r="C415" s="18"/>
      <c r="D415" s="18"/>
      <c r="E415" s="18"/>
      <c r="F415" s="1"/>
      <c r="G415" s="18"/>
      <c r="H415" s="18"/>
    </row>
    <row r="416" spans="1:8" ht="18">
      <c r="A416" s="18"/>
      <c r="B416" s="18"/>
      <c r="C416" s="18"/>
      <c r="D416" s="18"/>
      <c r="E416" s="18"/>
      <c r="F416" s="1"/>
      <c r="G416" s="18"/>
      <c r="H416" s="18"/>
    </row>
    <row r="417" spans="1:8" ht="18">
      <c r="A417" s="18"/>
      <c r="B417" s="18"/>
      <c r="C417" s="18"/>
      <c r="D417" s="18"/>
      <c r="E417" s="18"/>
      <c r="F417" s="1"/>
      <c r="G417" s="18"/>
      <c r="H417" s="18"/>
    </row>
    <row r="418" spans="1:8" ht="18">
      <c r="A418" s="18"/>
      <c r="B418" s="18"/>
      <c r="C418" s="18"/>
      <c r="D418" s="18"/>
      <c r="E418" s="18"/>
      <c r="F418" s="1"/>
      <c r="G418" s="18"/>
      <c r="H418" s="18"/>
    </row>
    <row r="419" spans="1:8" ht="18">
      <c r="A419" s="18"/>
      <c r="B419" s="18"/>
      <c r="C419" s="18"/>
      <c r="D419" s="18"/>
      <c r="E419" s="18"/>
      <c r="F419" s="1"/>
      <c r="G419" s="18"/>
      <c r="H419" s="18"/>
    </row>
    <row r="420" spans="1:8" ht="18">
      <c r="A420" s="18"/>
      <c r="B420" s="18"/>
      <c r="C420" s="18"/>
      <c r="D420" s="18"/>
      <c r="E420" s="18"/>
      <c r="F420" s="1"/>
      <c r="G420" s="18"/>
      <c r="H420" s="18"/>
    </row>
    <row r="421" spans="1:8" ht="18">
      <c r="A421" s="18"/>
      <c r="B421" s="18"/>
      <c r="C421" s="18"/>
      <c r="D421" s="18"/>
      <c r="E421" s="18"/>
      <c r="F421" s="1"/>
      <c r="G421" s="18"/>
      <c r="H421" s="18"/>
    </row>
    <row r="422" spans="1:8" ht="18">
      <c r="A422" s="18"/>
      <c r="B422" s="18"/>
      <c r="C422" s="18"/>
      <c r="D422" s="18"/>
      <c r="E422" s="18"/>
      <c r="F422" s="1"/>
      <c r="G422" s="18"/>
      <c r="H422" s="18"/>
    </row>
    <row r="423" spans="1:8" ht="18">
      <c r="A423" s="18"/>
      <c r="B423" s="18"/>
      <c r="C423" s="18"/>
      <c r="D423" s="18"/>
      <c r="E423" s="18"/>
      <c r="F423" s="1"/>
      <c r="G423" s="18"/>
      <c r="H423" s="18"/>
    </row>
    <row r="424" spans="1:8" ht="18">
      <c r="A424" s="18"/>
      <c r="B424" s="18"/>
      <c r="C424" s="18"/>
      <c r="D424" s="18"/>
      <c r="E424" s="18"/>
      <c r="F424" s="1"/>
      <c r="G424" s="18"/>
      <c r="H424" s="18"/>
    </row>
    <row r="425" spans="1:8" ht="18">
      <c r="A425" s="18"/>
      <c r="B425" s="18"/>
      <c r="C425" s="18"/>
      <c r="D425" s="18"/>
      <c r="E425" s="18"/>
      <c r="F425" s="1"/>
      <c r="G425" s="18"/>
      <c r="H425" s="18"/>
    </row>
    <row r="426" spans="1:8" ht="18">
      <c r="A426" s="18"/>
      <c r="B426" s="18"/>
      <c r="C426" s="18"/>
      <c r="D426" s="18"/>
      <c r="E426" s="18"/>
      <c r="F426" s="1"/>
      <c r="G426" s="18"/>
      <c r="H426" s="18"/>
    </row>
    <row r="427" spans="1:8" ht="18">
      <c r="A427" s="18"/>
      <c r="B427" s="18"/>
      <c r="C427" s="18"/>
      <c r="D427" s="18"/>
      <c r="E427" s="18"/>
      <c r="F427" s="1"/>
      <c r="G427" s="18"/>
      <c r="H427" s="18"/>
    </row>
    <row r="428" spans="1:8" ht="18">
      <c r="A428" s="18"/>
      <c r="B428" s="18"/>
      <c r="C428" s="18"/>
      <c r="D428" s="18"/>
      <c r="E428" s="18"/>
      <c r="F428" s="1"/>
      <c r="G428" s="18"/>
      <c r="H428" s="18"/>
    </row>
  </sheetData>
  <mergeCells count="59">
    <mergeCell ref="A290:A297"/>
    <mergeCell ref="A300:A303"/>
    <mergeCell ref="A310:B310"/>
    <mergeCell ref="C310:E310"/>
    <mergeCell ref="G310:H310"/>
    <mergeCell ref="A256:H256"/>
    <mergeCell ref="B257:H257"/>
    <mergeCell ref="A259:A268"/>
    <mergeCell ref="A269:A277"/>
    <mergeCell ref="A280:A288"/>
    <mergeCell ref="A379:A386"/>
    <mergeCell ref="A390:A393"/>
    <mergeCell ref="A401:B401"/>
    <mergeCell ref="C401:E401"/>
    <mergeCell ref="G401:H401"/>
    <mergeCell ref="A346:H346"/>
    <mergeCell ref="B347:H347"/>
    <mergeCell ref="A349:A358"/>
    <mergeCell ref="A359:A366"/>
    <mergeCell ref="A369:A376"/>
    <mergeCell ref="A228:A231"/>
    <mergeCell ref="A239:B239"/>
    <mergeCell ref="C239:E239"/>
    <mergeCell ref="G239:H239"/>
    <mergeCell ref="A184:H184"/>
    <mergeCell ref="B185:H185"/>
    <mergeCell ref="A187:A197"/>
    <mergeCell ref="A198:A205"/>
    <mergeCell ref="A208:A216"/>
    <mergeCell ref="A124:H124"/>
    <mergeCell ref="B125:H125"/>
    <mergeCell ref="A126:A133"/>
    <mergeCell ref="A136:A144"/>
    <mergeCell ref="A218:A225"/>
    <mergeCell ref="A146:A153"/>
    <mergeCell ref="A156:A159"/>
    <mergeCell ref="A167:B167"/>
    <mergeCell ref="C167:E167"/>
    <mergeCell ref="G167:H167"/>
    <mergeCell ref="A98:A101"/>
    <mergeCell ref="A109:B109"/>
    <mergeCell ref="C109:E109"/>
    <mergeCell ref="G109:H109"/>
    <mergeCell ref="A66:H66"/>
    <mergeCell ref="B67:H67"/>
    <mergeCell ref="A68:A75"/>
    <mergeCell ref="A78:A86"/>
    <mergeCell ref="A88:A95"/>
    <mergeCell ref="A46:A49"/>
    <mergeCell ref="A58:B58"/>
    <mergeCell ref="C58:E58"/>
    <mergeCell ref="G58:H58"/>
    <mergeCell ref="A2:H2"/>
    <mergeCell ref="B3:H3"/>
    <mergeCell ref="A4:A11"/>
    <mergeCell ref="A14:A22"/>
    <mergeCell ref="A38:A41"/>
    <mergeCell ref="A35:A37"/>
    <mergeCell ref="A24:A32"/>
  </mergeCells>
  <phoneticPr fontId="13" type="noConversion"/>
  <pageMargins left="0.39370078740157483" right="0.31496062992125984" top="0.4330708661417322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5A01B-1818-450A-B1B6-38807E402D85}">
  <dimension ref="A1:H249"/>
  <sheetViews>
    <sheetView tabSelected="1" zoomScaleNormal="100" workbookViewId="0">
      <selection activeCell="A61" sqref="A61:XFD91"/>
    </sheetView>
  </sheetViews>
  <sheetFormatPr defaultRowHeight="13.8"/>
  <cols>
    <col min="1" max="1" width="5.796875" customWidth="1"/>
    <col min="2" max="2" width="23.19921875" customWidth="1"/>
    <col min="3" max="3" width="8.8984375" style="19" customWidth="1"/>
    <col min="4" max="4" width="6.796875" customWidth="1"/>
    <col min="5" max="5" width="7.8984375" style="19" customWidth="1"/>
    <col min="6" max="6" width="4.8984375" customWidth="1"/>
    <col min="7" max="7" width="10.09765625" customWidth="1"/>
    <col min="8" max="8" width="13.296875" customWidth="1"/>
  </cols>
  <sheetData>
    <row r="1" spans="1:8" ht="15.6">
      <c r="A1" s="3" t="s">
        <v>0</v>
      </c>
      <c r="B1" s="3"/>
    </row>
    <row r="2" spans="1:8" s="38" customFormat="1" ht="16.8" customHeight="1">
      <c r="A2" s="231" t="s">
        <v>79</v>
      </c>
      <c r="B2" s="231"/>
      <c r="C2" s="231"/>
      <c r="D2" s="231"/>
      <c r="E2" s="231"/>
      <c r="F2" s="231"/>
      <c r="G2" s="231"/>
      <c r="H2" s="231"/>
    </row>
    <row r="3" spans="1:8" s="38" customFormat="1" ht="16.8" customHeight="1">
      <c r="A3" s="37"/>
      <c r="B3" s="232" t="s">
        <v>116</v>
      </c>
      <c r="C3" s="232"/>
      <c r="D3" s="232"/>
      <c r="E3" s="232"/>
      <c r="F3" s="232"/>
      <c r="G3" s="232"/>
      <c r="H3" s="232"/>
    </row>
    <row r="4" spans="1:8" ht="15" customHeight="1">
      <c r="A4" s="4" t="s">
        <v>11</v>
      </c>
      <c r="B4" s="5" t="s">
        <v>12</v>
      </c>
      <c r="C4" s="6" t="s">
        <v>13</v>
      </c>
      <c r="D4" s="7" t="s">
        <v>14</v>
      </c>
      <c r="E4" s="24" t="s">
        <v>15</v>
      </c>
      <c r="F4" s="8" t="s">
        <v>3</v>
      </c>
      <c r="G4" s="4" t="s">
        <v>16</v>
      </c>
      <c r="H4" s="4" t="s">
        <v>17</v>
      </c>
    </row>
    <row r="5" spans="1:8" s="45" customFormat="1" ht="15" customHeight="1">
      <c r="A5" s="240" t="s">
        <v>117</v>
      </c>
      <c r="B5" s="41" t="s">
        <v>18</v>
      </c>
      <c r="C5" s="64">
        <f>E5/D5</f>
        <v>0.11991341991341992</v>
      </c>
      <c r="D5" s="81">
        <v>231</v>
      </c>
      <c r="E5" s="101" t="s">
        <v>60</v>
      </c>
      <c r="F5" s="82" t="s">
        <v>1</v>
      </c>
      <c r="G5" s="65">
        <v>21525</v>
      </c>
      <c r="H5" s="83">
        <f>E5*G5</f>
        <v>596242.5</v>
      </c>
    </row>
    <row r="6" spans="1:8" s="45" customFormat="1" ht="15" customHeight="1">
      <c r="A6" s="241"/>
      <c r="B6" s="84" t="s">
        <v>37</v>
      </c>
      <c r="C6" s="66">
        <f>E6/D6</f>
        <v>5.4545454545454543E-2</v>
      </c>
      <c r="D6" s="86">
        <v>231</v>
      </c>
      <c r="E6" s="102" t="s">
        <v>119</v>
      </c>
      <c r="F6" s="22" t="s">
        <v>1</v>
      </c>
      <c r="G6" s="87">
        <v>172800</v>
      </c>
      <c r="H6" s="48">
        <f t="shared" ref="H6:H11" si="0">E6*G6</f>
        <v>2177280</v>
      </c>
    </row>
    <row r="7" spans="1:8" s="45" customFormat="1" ht="15" customHeight="1">
      <c r="A7" s="242"/>
      <c r="B7" s="84" t="s">
        <v>38</v>
      </c>
      <c r="C7" s="66">
        <f t="shared" ref="C7:C9" si="1">E7/D7</f>
        <v>3.4632034632034632E-2</v>
      </c>
      <c r="D7" s="86">
        <v>231</v>
      </c>
      <c r="E7" s="102" t="s">
        <v>19</v>
      </c>
      <c r="F7" s="22" t="s">
        <v>1</v>
      </c>
      <c r="G7" s="87">
        <v>89250</v>
      </c>
      <c r="H7" s="48">
        <f t="shared" si="0"/>
        <v>714000</v>
      </c>
    </row>
    <row r="8" spans="1:8" s="45" customFormat="1" ht="15" customHeight="1">
      <c r="A8" s="242"/>
      <c r="B8" s="22" t="s">
        <v>72</v>
      </c>
      <c r="C8" s="66">
        <f t="shared" si="1"/>
        <v>4.329004329004329E-3</v>
      </c>
      <c r="D8" s="86">
        <v>231</v>
      </c>
      <c r="E8" s="85">
        <v>1</v>
      </c>
      <c r="F8" s="22" t="s">
        <v>2</v>
      </c>
      <c r="G8" s="47">
        <v>137550</v>
      </c>
      <c r="H8" s="48">
        <f t="shared" si="0"/>
        <v>137550</v>
      </c>
    </row>
    <row r="9" spans="1:8" s="45" customFormat="1" ht="15" customHeight="1">
      <c r="A9" s="242"/>
      <c r="B9" s="22" t="s">
        <v>40</v>
      </c>
      <c r="C9" s="85">
        <f t="shared" si="1"/>
        <v>4.329004329004329E-4</v>
      </c>
      <c r="D9" s="86">
        <v>231</v>
      </c>
      <c r="E9" s="85">
        <v>0.1</v>
      </c>
      <c r="F9" s="22" t="s">
        <v>2</v>
      </c>
      <c r="G9" s="47">
        <v>42000</v>
      </c>
      <c r="H9" s="48">
        <f t="shared" si="0"/>
        <v>4200</v>
      </c>
    </row>
    <row r="10" spans="1:8" s="45" customFormat="1" ht="15" customHeight="1">
      <c r="A10" s="242"/>
      <c r="B10" s="84" t="s">
        <v>73</v>
      </c>
      <c r="C10" s="85"/>
      <c r="D10" s="88"/>
      <c r="E10" s="99">
        <v>8.1999999999999993</v>
      </c>
      <c r="F10" s="22" t="s">
        <v>1</v>
      </c>
      <c r="G10" s="47">
        <v>18900</v>
      </c>
      <c r="H10" s="48">
        <f t="shared" si="0"/>
        <v>154980</v>
      </c>
    </row>
    <row r="11" spans="1:8" s="45" customFormat="1" ht="15" customHeight="1">
      <c r="A11" s="242"/>
      <c r="B11" s="22" t="s">
        <v>44</v>
      </c>
      <c r="C11" s="70"/>
      <c r="D11" s="22"/>
      <c r="E11" s="46" t="s">
        <v>34</v>
      </c>
      <c r="F11" s="22" t="s">
        <v>1</v>
      </c>
      <c r="G11" s="47">
        <v>60900</v>
      </c>
      <c r="H11" s="48">
        <f t="shared" si="0"/>
        <v>6090</v>
      </c>
    </row>
    <row r="12" spans="1:8" s="45" customFormat="1" ht="15" customHeight="1">
      <c r="A12" s="242"/>
      <c r="B12" s="89" t="s">
        <v>20</v>
      </c>
      <c r="C12" s="70"/>
      <c r="D12" s="90"/>
      <c r="E12" s="91"/>
      <c r="F12" s="86" t="s">
        <v>1</v>
      </c>
      <c r="G12" s="47"/>
      <c r="H12" s="57">
        <f>136716-59</f>
        <v>136657</v>
      </c>
    </row>
    <row r="13" spans="1:8" s="45" customFormat="1" ht="22.2" customHeight="1">
      <c r="A13" s="243"/>
      <c r="B13" s="245"/>
      <c r="C13" s="246"/>
      <c r="D13" s="246"/>
      <c r="E13" s="246"/>
      <c r="F13" s="246"/>
      <c r="G13" s="247"/>
      <c r="H13" s="63">
        <f>SUM(H5:H12)</f>
        <v>3926999.5</v>
      </c>
    </row>
    <row r="14" spans="1:8" s="45" customFormat="1" ht="15" customHeight="1">
      <c r="A14" s="233" t="s">
        <v>118</v>
      </c>
      <c r="B14" s="41" t="s">
        <v>18</v>
      </c>
      <c r="C14" s="64">
        <f>E14/D14</f>
        <v>0.11991341991341992</v>
      </c>
      <c r="D14" s="22">
        <v>231</v>
      </c>
      <c r="E14" s="100" t="s">
        <v>60</v>
      </c>
      <c r="F14" s="41" t="s">
        <v>1</v>
      </c>
      <c r="G14" s="65">
        <v>21525</v>
      </c>
      <c r="H14" s="43">
        <f>E14*G14</f>
        <v>596242.5</v>
      </c>
    </row>
    <row r="15" spans="1:8" s="45" customFormat="1" ht="15" customHeight="1">
      <c r="A15" s="234"/>
      <c r="B15" s="22" t="s">
        <v>52</v>
      </c>
      <c r="C15" s="66">
        <f t="shared" ref="C15:C16" si="2">E15/D15</f>
        <v>7.4458874458874461E-2</v>
      </c>
      <c r="D15" s="22">
        <v>231</v>
      </c>
      <c r="E15" s="67">
        <v>17.2</v>
      </c>
      <c r="F15" s="22" t="s">
        <v>1</v>
      </c>
      <c r="G15" s="47">
        <v>130200</v>
      </c>
      <c r="H15" s="48">
        <f>E15*G15-1892</f>
        <v>2237548</v>
      </c>
    </row>
    <row r="16" spans="1:8" s="45" customFormat="1" ht="15" customHeight="1">
      <c r="A16" s="234"/>
      <c r="B16" s="22" t="s">
        <v>31</v>
      </c>
      <c r="C16" s="68">
        <f t="shared" si="2"/>
        <v>0.5670995670995671</v>
      </c>
      <c r="D16" s="22">
        <v>231</v>
      </c>
      <c r="E16" s="46" t="s">
        <v>88</v>
      </c>
      <c r="F16" s="22" t="s">
        <v>1</v>
      </c>
      <c r="G16" s="47">
        <v>3456</v>
      </c>
      <c r="H16" s="48">
        <f>E16*G16</f>
        <v>452736</v>
      </c>
    </row>
    <row r="17" spans="1:8" s="45" customFormat="1" ht="15" customHeight="1">
      <c r="A17" s="234"/>
      <c r="B17" s="22" t="s">
        <v>47</v>
      </c>
      <c r="C17" s="68"/>
      <c r="D17" s="22">
        <v>231</v>
      </c>
      <c r="E17" s="46" t="s">
        <v>35</v>
      </c>
      <c r="F17" s="22" t="s">
        <v>1</v>
      </c>
      <c r="G17" s="47">
        <v>78750</v>
      </c>
      <c r="H17" s="48">
        <f t="shared" ref="H17:H21" si="3">E17*G17</f>
        <v>236250</v>
      </c>
    </row>
    <row r="18" spans="1:8" s="45" customFormat="1" ht="15" customHeight="1">
      <c r="A18" s="234"/>
      <c r="B18" s="22" t="s">
        <v>48</v>
      </c>
      <c r="C18" s="68"/>
      <c r="D18" s="22">
        <v>231</v>
      </c>
      <c r="E18" s="46" t="s">
        <v>57</v>
      </c>
      <c r="F18" s="22" t="s">
        <v>2</v>
      </c>
      <c r="G18" s="47">
        <v>20478</v>
      </c>
      <c r="H18" s="48">
        <f t="shared" si="3"/>
        <v>245736</v>
      </c>
    </row>
    <row r="19" spans="1:8" s="45" customFormat="1" ht="15" customHeight="1">
      <c r="A19" s="234"/>
      <c r="B19" s="22" t="s">
        <v>50</v>
      </c>
      <c r="C19" s="22"/>
      <c r="D19" s="22">
        <v>231</v>
      </c>
      <c r="E19" s="46" t="s">
        <v>34</v>
      </c>
      <c r="F19" s="22" t="s">
        <v>1</v>
      </c>
      <c r="G19" s="47">
        <v>63000</v>
      </c>
      <c r="H19" s="48">
        <f t="shared" si="3"/>
        <v>6300</v>
      </c>
    </row>
    <row r="20" spans="1:8" s="45" customFormat="1" ht="15" customHeight="1">
      <c r="A20" s="234"/>
      <c r="B20" s="22" t="s">
        <v>44</v>
      </c>
      <c r="C20" s="70"/>
      <c r="D20" s="22">
        <v>231</v>
      </c>
      <c r="E20" s="46" t="s">
        <v>34</v>
      </c>
      <c r="F20" s="22" t="s">
        <v>1</v>
      </c>
      <c r="G20" s="47">
        <v>60900</v>
      </c>
      <c r="H20" s="48">
        <f t="shared" si="3"/>
        <v>6090</v>
      </c>
    </row>
    <row r="21" spans="1:8" s="45" customFormat="1" ht="15" customHeight="1">
      <c r="A21" s="235"/>
      <c r="B21" s="22" t="s">
        <v>51</v>
      </c>
      <c r="C21" s="52"/>
      <c r="D21" s="22">
        <v>231</v>
      </c>
      <c r="E21" s="46" t="s">
        <v>41</v>
      </c>
      <c r="F21" s="22" t="s">
        <v>1</v>
      </c>
      <c r="G21" s="47">
        <v>42000</v>
      </c>
      <c r="H21" s="48">
        <f t="shared" si="3"/>
        <v>8400</v>
      </c>
    </row>
    <row r="22" spans="1:8" s="45" customFormat="1" ht="15" customHeight="1">
      <c r="A22" s="235"/>
      <c r="B22" s="52" t="s">
        <v>20</v>
      </c>
      <c r="C22" s="52"/>
      <c r="D22" s="22">
        <v>231</v>
      </c>
      <c r="E22" s="53"/>
      <c r="F22" s="54"/>
      <c r="G22" s="52"/>
      <c r="H22" s="57">
        <f>136716+982-1</f>
        <v>137697</v>
      </c>
    </row>
    <row r="23" spans="1:8" s="72" customFormat="1" ht="18.600000000000001" customHeight="1">
      <c r="A23" s="73"/>
      <c r="B23" s="74"/>
      <c r="C23" s="75"/>
      <c r="D23" s="75"/>
      <c r="E23" s="76"/>
      <c r="F23" s="77"/>
      <c r="G23" s="74"/>
      <c r="H23" s="78">
        <f>SUM(H14:H22)</f>
        <v>3926999.5</v>
      </c>
    </row>
    <row r="24" spans="1:8" s="126" customFormat="1" ht="15" customHeight="1">
      <c r="A24" s="135"/>
      <c r="B24" s="9" t="s">
        <v>18</v>
      </c>
      <c r="C24" s="66">
        <f t="shared" ref="C24:C26" si="4">E24/D24</f>
        <v>0.11991341991341992</v>
      </c>
      <c r="D24" s="12">
        <v>231</v>
      </c>
      <c r="E24" s="177" t="s">
        <v>60</v>
      </c>
      <c r="F24" s="9" t="s">
        <v>1</v>
      </c>
      <c r="G24" s="10">
        <v>21525</v>
      </c>
      <c r="H24" s="11">
        <f>E24*G24</f>
        <v>596242.5</v>
      </c>
    </row>
    <row r="25" spans="1:8" s="126" customFormat="1" ht="15" customHeight="1">
      <c r="A25" s="244" t="s">
        <v>120</v>
      </c>
      <c r="B25" s="22" t="s">
        <v>52</v>
      </c>
      <c r="C25" s="66">
        <f t="shared" si="4"/>
        <v>7.575757575757576E-2</v>
      </c>
      <c r="D25" s="22">
        <v>231</v>
      </c>
      <c r="E25" s="23">
        <v>17.5</v>
      </c>
      <c r="F25" s="22" t="s">
        <v>1</v>
      </c>
      <c r="G25" s="47">
        <v>130200</v>
      </c>
      <c r="H25" s="48">
        <f>E25*G25-1892</f>
        <v>2276608</v>
      </c>
    </row>
    <row r="26" spans="1:8" s="126" customFormat="1" ht="19.2" customHeight="1">
      <c r="A26" s="244"/>
      <c r="B26" s="22" t="s">
        <v>28</v>
      </c>
      <c r="C26" s="68">
        <f t="shared" si="4"/>
        <v>3.1601731601731603E-2</v>
      </c>
      <c r="D26" s="22">
        <v>231</v>
      </c>
      <c r="E26" s="178" t="s">
        <v>71</v>
      </c>
      <c r="F26" s="22" t="s">
        <v>1</v>
      </c>
      <c r="G26" s="47">
        <v>67200</v>
      </c>
      <c r="H26" s="48">
        <f>E26*G26</f>
        <v>490560</v>
      </c>
    </row>
    <row r="27" spans="1:8" s="126" customFormat="1" ht="15" customHeight="1">
      <c r="A27" s="244"/>
      <c r="B27" s="12" t="s">
        <v>32</v>
      </c>
      <c r="C27" s="12"/>
      <c r="D27" s="12">
        <v>231</v>
      </c>
      <c r="E27" s="106">
        <v>2.2000000000000002</v>
      </c>
      <c r="F27" s="12" t="s">
        <v>1</v>
      </c>
      <c r="G27" s="14">
        <v>29400</v>
      </c>
      <c r="H27" s="14">
        <f>E27*G27</f>
        <v>64680.000000000007</v>
      </c>
    </row>
    <row r="28" spans="1:8" s="126" customFormat="1" ht="15" customHeight="1">
      <c r="A28" s="244"/>
      <c r="B28" s="12" t="s">
        <v>33</v>
      </c>
      <c r="C28" s="12"/>
      <c r="D28" s="12">
        <v>231</v>
      </c>
      <c r="E28" s="106">
        <v>1</v>
      </c>
      <c r="F28" s="12" t="s">
        <v>1</v>
      </c>
      <c r="G28" s="14">
        <v>164850</v>
      </c>
      <c r="H28" s="14">
        <f t="shared" ref="H28:H31" si="5">E28*G28</f>
        <v>164850</v>
      </c>
    </row>
    <row r="29" spans="1:8" s="126" customFormat="1" ht="15" customHeight="1">
      <c r="A29" s="244"/>
      <c r="B29" s="110" t="s">
        <v>90</v>
      </c>
      <c r="C29" s="164"/>
      <c r="D29" s="110"/>
      <c r="E29" s="165" t="s">
        <v>92</v>
      </c>
      <c r="F29" s="110" t="s">
        <v>91</v>
      </c>
      <c r="G29" s="162">
        <v>37800</v>
      </c>
      <c r="H29" s="163">
        <f>E29*G29</f>
        <v>75600</v>
      </c>
    </row>
    <row r="30" spans="1:8" s="126" customFormat="1" ht="15" customHeight="1">
      <c r="A30" s="244"/>
      <c r="B30" s="12" t="s">
        <v>10</v>
      </c>
      <c r="C30" s="12"/>
      <c r="D30" s="12"/>
      <c r="E30" s="106">
        <v>5</v>
      </c>
      <c r="F30" s="12" t="s">
        <v>1</v>
      </c>
      <c r="G30" s="13">
        <v>21000</v>
      </c>
      <c r="H30" s="14">
        <f t="shared" si="5"/>
        <v>105000</v>
      </c>
    </row>
    <row r="31" spans="1:8" s="126" customFormat="1" ht="15" customHeight="1">
      <c r="A31" s="244"/>
      <c r="B31" s="12" t="s">
        <v>8</v>
      </c>
      <c r="C31" s="12"/>
      <c r="D31" s="12"/>
      <c r="E31" s="178" t="s">
        <v>34</v>
      </c>
      <c r="F31" s="12" t="s">
        <v>1</v>
      </c>
      <c r="G31" s="13">
        <v>60900</v>
      </c>
      <c r="H31" s="14">
        <f t="shared" si="5"/>
        <v>6090</v>
      </c>
    </row>
    <row r="32" spans="1:8" s="126" customFormat="1" ht="15" customHeight="1">
      <c r="A32" s="244"/>
      <c r="B32" s="15" t="s">
        <v>42</v>
      </c>
      <c r="C32" s="20"/>
      <c r="D32" s="12"/>
      <c r="E32" s="179" t="s">
        <v>41</v>
      </c>
      <c r="F32" s="12" t="s">
        <v>1</v>
      </c>
      <c r="G32" s="21">
        <v>49350</v>
      </c>
      <c r="H32" s="14">
        <f>E32*G32</f>
        <v>9870</v>
      </c>
    </row>
    <row r="33" spans="1:8" s="126" customFormat="1" ht="15" customHeight="1">
      <c r="A33" s="143"/>
      <c r="B33" s="15" t="s">
        <v>20</v>
      </c>
      <c r="C33" s="15"/>
      <c r="D33" s="15"/>
      <c r="E33" s="25"/>
      <c r="F33" s="16"/>
      <c r="G33" s="15"/>
      <c r="H33" s="176">
        <f>136716+783</f>
        <v>137499</v>
      </c>
    </row>
    <row r="34" spans="1:8" s="58" customFormat="1" ht="20.399999999999999" customHeight="1">
      <c r="A34" s="113"/>
      <c r="B34" s="15"/>
      <c r="C34" s="15"/>
      <c r="D34" s="15"/>
      <c r="E34" s="25"/>
      <c r="F34" s="16"/>
      <c r="G34" s="15"/>
      <c r="H34" s="2">
        <f>SUM(H24:H33)</f>
        <v>3926999.5</v>
      </c>
    </row>
    <row r="35" spans="1:8" s="58" customFormat="1" ht="20.399999999999999" customHeight="1">
      <c r="A35" s="237" t="s">
        <v>121</v>
      </c>
      <c r="B35" s="39" t="s">
        <v>18</v>
      </c>
      <c r="C35" s="156">
        <f>E35/D35</f>
        <v>0.12000000000000001</v>
      </c>
      <c r="D35" s="110">
        <v>230</v>
      </c>
      <c r="E35" s="101" t="s">
        <v>66</v>
      </c>
      <c r="F35" s="157" t="s">
        <v>1</v>
      </c>
      <c r="G35" s="158">
        <v>21525</v>
      </c>
      <c r="H35" s="159">
        <f>E35*G35</f>
        <v>594090</v>
      </c>
    </row>
    <row r="36" spans="1:8" s="58" customFormat="1" ht="20.399999999999999" customHeight="1">
      <c r="A36" s="238"/>
      <c r="B36" s="157" t="s">
        <v>87</v>
      </c>
      <c r="C36" s="160">
        <f t="shared" ref="C36:C38" si="6">E36/D36</f>
        <v>7.9565217391304358E-2</v>
      </c>
      <c r="D36" s="110">
        <v>230</v>
      </c>
      <c r="E36" s="101" t="s">
        <v>115</v>
      </c>
      <c r="F36" s="110" t="s">
        <v>1</v>
      </c>
      <c r="G36" s="158">
        <v>128100</v>
      </c>
      <c r="H36" s="163">
        <f>G36*E36</f>
        <v>2344230</v>
      </c>
    </row>
    <row r="37" spans="1:8" s="58" customFormat="1" ht="20.399999999999999" customHeight="1">
      <c r="A37" s="238"/>
      <c r="B37" s="110" t="s">
        <v>4</v>
      </c>
      <c r="C37" s="160">
        <f t="shared" si="6"/>
        <v>4.3478260869565218E-3</v>
      </c>
      <c r="D37" s="110">
        <v>230</v>
      </c>
      <c r="E37" s="161">
        <v>1</v>
      </c>
      <c r="F37" s="110" t="s">
        <v>1</v>
      </c>
      <c r="G37" s="162">
        <v>137550</v>
      </c>
      <c r="H37" s="163">
        <f>E37*G37-1892</f>
        <v>135658</v>
      </c>
    </row>
    <row r="38" spans="1:8" s="58" customFormat="1" ht="20.399999999999999" customHeight="1">
      <c r="A38" s="238"/>
      <c r="B38" s="110" t="s">
        <v>5</v>
      </c>
      <c r="C38" s="164">
        <f t="shared" si="6"/>
        <v>0.56956521739130439</v>
      </c>
      <c r="D38" s="110">
        <v>230</v>
      </c>
      <c r="E38" s="165" t="s">
        <v>88</v>
      </c>
      <c r="F38" s="110" t="s">
        <v>1</v>
      </c>
      <c r="G38" s="162">
        <v>3510</v>
      </c>
      <c r="H38" s="163">
        <f>E38*G38</f>
        <v>459810</v>
      </c>
    </row>
    <row r="39" spans="1:8" s="58" customFormat="1" ht="20.399999999999999" customHeight="1">
      <c r="A39" s="238"/>
      <c r="B39" s="110" t="s">
        <v>90</v>
      </c>
      <c r="C39" s="164"/>
      <c r="D39" s="110"/>
      <c r="E39" s="165" t="s">
        <v>92</v>
      </c>
      <c r="F39" s="110" t="s">
        <v>91</v>
      </c>
      <c r="G39" s="162">
        <v>37800</v>
      </c>
      <c r="H39" s="163">
        <f>E39*G39</f>
        <v>75600</v>
      </c>
    </row>
    <row r="40" spans="1:8" s="58" customFormat="1" ht="20.399999999999999" customHeight="1">
      <c r="A40" s="238"/>
      <c r="B40" s="110" t="s">
        <v>100</v>
      </c>
      <c r="C40" s="164"/>
      <c r="D40" s="110"/>
      <c r="E40" s="165" t="s">
        <v>21</v>
      </c>
      <c r="F40" s="110" t="s">
        <v>2</v>
      </c>
      <c r="G40" s="162">
        <v>44280</v>
      </c>
      <c r="H40" s="163">
        <f>E40*G40</f>
        <v>44280</v>
      </c>
    </row>
    <row r="41" spans="1:8" s="58" customFormat="1" ht="20.399999999999999" customHeight="1">
      <c r="A41" s="238"/>
      <c r="B41" s="110" t="s">
        <v>101</v>
      </c>
      <c r="C41" s="164"/>
      <c r="D41" s="110"/>
      <c r="E41" s="165" t="s">
        <v>122</v>
      </c>
      <c r="F41" s="110" t="s">
        <v>1</v>
      </c>
      <c r="G41" s="162">
        <v>21000</v>
      </c>
      <c r="H41" s="163">
        <f t="shared" ref="H41:H43" si="7">E41*G41</f>
        <v>111300</v>
      </c>
    </row>
    <row r="42" spans="1:8" s="58" customFormat="1" ht="20.399999999999999" customHeight="1">
      <c r="A42" s="238"/>
      <c r="B42" s="110" t="s">
        <v>29</v>
      </c>
      <c r="C42" s="160"/>
      <c r="D42" s="110"/>
      <c r="E42" s="165" t="s">
        <v>34</v>
      </c>
      <c r="F42" s="110" t="s">
        <v>2</v>
      </c>
      <c r="G42" s="162">
        <v>42000</v>
      </c>
      <c r="H42" s="163">
        <f t="shared" si="7"/>
        <v>4200</v>
      </c>
    </row>
    <row r="43" spans="1:8" s="58" customFormat="1" ht="20.399999999999999" customHeight="1">
      <c r="A43" s="180"/>
      <c r="B43" s="110" t="s">
        <v>8</v>
      </c>
      <c r="C43" s="111"/>
      <c r="D43" s="110"/>
      <c r="E43" s="166">
        <v>0.1</v>
      </c>
      <c r="F43" s="110" t="s">
        <v>1</v>
      </c>
      <c r="G43" s="162">
        <v>60900</v>
      </c>
      <c r="H43" s="163">
        <f t="shared" si="7"/>
        <v>6090</v>
      </c>
    </row>
    <row r="44" spans="1:8" s="58" customFormat="1" ht="20.399999999999999" customHeight="1">
      <c r="A44" s="180"/>
      <c r="B44" s="167" t="s">
        <v>20</v>
      </c>
      <c r="C44" s="167"/>
      <c r="D44" s="167"/>
      <c r="E44" s="168"/>
      <c r="F44" s="169"/>
      <c r="G44" s="167"/>
      <c r="H44" s="170">
        <f>136716-1974</f>
        <v>134742</v>
      </c>
    </row>
    <row r="45" spans="1:8" s="58" customFormat="1" ht="20.399999999999999" customHeight="1">
      <c r="A45" s="113"/>
      <c r="B45" s="181"/>
      <c r="C45" s="115"/>
      <c r="D45" s="181"/>
      <c r="E45" s="182"/>
      <c r="F45" s="181"/>
      <c r="G45" s="183"/>
      <c r="H45" s="184">
        <f>SUM(H35:H44)</f>
        <v>3910000</v>
      </c>
    </row>
    <row r="46" spans="1:8" s="58" customFormat="1" ht="15" customHeight="1">
      <c r="A46" s="230" t="s">
        <v>123</v>
      </c>
      <c r="B46" s="39" t="s">
        <v>7</v>
      </c>
      <c r="C46" s="40">
        <f>E46/D46</f>
        <v>0.12000000000000001</v>
      </c>
      <c r="D46" s="22">
        <v>230</v>
      </c>
      <c r="E46" s="98">
        <v>27.6</v>
      </c>
      <c r="F46" s="41" t="s">
        <v>1</v>
      </c>
      <c r="G46" s="42">
        <v>21525</v>
      </c>
      <c r="H46" s="43">
        <f>E46*G46</f>
        <v>594090</v>
      </c>
    </row>
    <row r="47" spans="1:8" s="58" customFormat="1" ht="15" customHeight="1">
      <c r="A47" s="230"/>
      <c r="B47" s="22" t="s">
        <v>30</v>
      </c>
      <c r="C47" s="22">
        <f>E47/D47</f>
        <v>5.8260869565217394E-2</v>
      </c>
      <c r="D47" s="22">
        <v>230</v>
      </c>
      <c r="E47" s="85">
        <v>13.4</v>
      </c>
      <c r="F47" s="22" t="s">
        <v>1</v>
      </c>
      <c r="G47" s="47">
        <v>172800</v>
      </c>
      <c r="H47" s="48">
        <f>E47*G47</f>
        <v>2315520</v>
      </c>
    </row>
    <row r="48" spans="1:8" s="58" customFormat="1" ht="15" customHeight="1">
      <c r="A48" s="230"/>
      <c r="B48" s="22" t="s">
        <v>31</v>
      </c>
      <c r="C48" s="22">
        <f t="shared" ref="C48:C51" si="8">E48/D48</f>
        <v>0.56956521739130439</v>
      </c>
      <c r="D48" s="22">
        <v>230</v>
      </c>
      <c r="E48" s="85">
        <v>131</v>
      </c>
      <c r="F48" s="22" t="s">
        <v>1</v>
      </c>
      <c r="G48" s="47">
        <v>3456</v>
      </c>
      <c r="H48" s="48">
        <f t="shared" ref="H48:H53" si="9">E48*G48</f>
        <v>452736</v>
      </c>
    </row>
    <row r="49" spans="1:8" s="58" customFormat="1" ht="15" customHeight="1">
      <c r="A49" s="230"/>
      <c r="B49" s="22" t="s">
        <v>32</v>
      </c>
      <c r="C49" s="22">
        <f t="shared" si="8"/>
        <v>2.2608695652173914E-2</v>
      </c>
      <c r="D49" s="22">
        <v>230</v>
      </c>
      <c r="E49" s="85">
        <v>5.2</v>
      </c>
      <c r="F49" s="22" t="s">
        <v>1</v>
      </c>
      <c r="G49" s="47">
        <v>23100</v>
      </c>
      <c r="H49" s="48">
        <f t="shared" si="9"/>
        <v>120120</v>
      </c>
    </row>
    <row r="50" spans="1:8" s="58" customFormat="1" ht="15" customHeight="1">
      <c r="A50" s="171"/>
      <c r="B50" s="22" t="s">
        <v>72</v>
      </c>
      <c r="C50" s="66">
        <f t="shared" si="8"/>
        <v>4.3478260869565218E-3</v>
      </c>
      <c r="D50" s="86">
        <v>230</v>
      </c>
      <c r="E50" s="85">
        <v>1</v>
      </c>
      <c r="F50" s="22" t="s">
        <v>2</v>
      </c>
      <c r="G50" s="47">
        <v>137550</v>
      </c>
      <c r="H50" s="48">
        <f t="shared" si="9"/>
        <v>137550</v>
      </c>
    </row>
    <row r="51" spans="1:8" s="58" customFormat="1" ht="15" customHeight="1">
      <c r="A51" s="171"/>
      <c r="B51" s="22" t="s">
        <v>40</v>
      </c>
      <c r="C51" s="85">
        <f t="shared" si="8"/>
        <v>4.3478260869565219E-4</v>
      </c>
      <c r="D51" s="86">
        <v>230</v>
      </c>
      <c r="E51" s="85">
        <v>0.1</v>
      </c>
      <c r="F51" s="22" t="s">
        <v>2</v>
      </c>
      <c r="G51" s="47">
        <v>42000</v>
      </c>
      <c r="H51" s="48">
        <f t="shared" si="9"/>
        <v>4200</v>
      </c>
    </row>
    <row r="52" spans="1:8" s="58" customFormat="1" ht="15" customHeight="1">
      <c r="A52" s="171"/>
      <c r="B52" s="84" t="s">
        <v>73</v>
      </c>
      <c r="C52" s="85"/>
      <c r="D52" s="88"/>
      <c r="E52" s="99">
        <v>7.7</v>
      </c>
      <c r="F52" s="22" t="s">
        <v>1</v>
      </c>
      <c r="G52" s="47">
        <v>18900</v>
      </c>
      <c r="H52" s="48">
        <f t="shared" si="9"/>
        <v>145530</v>
      </c>
    </row>
    <row r="53" spans="1:8" s="58" customFormat="1" ht="15" customHeight="1">
      <c r="A53" s="171"/>
      <c r="B53" s="22" t="s">
        <v>8</v>
      </c>
      <c r="C53" s="22"/>
      <c r="D53" s="22"/>
      <c r="E53" s="85">
        <v>0.1</v>
      </c>
      <c r="F53" s="22" t="s">
        <v>1</v>
      </c>
      <c r="G53" s="47">
        <v>60900</v>
      </c>
      <c r="H53" s="48">
        <f t="shared" si="9"/>
        <v>6090</v>
      </c>
    </row>
    <row r="54" spans="1:8" s="58" customFormat="1" ht="15" customHeight="1">
      <c r="A54" s="171"/>
      <c r="B54" s="52" t="s">
        <v>20</v>
      </c>
      <c r="C54" s="52"/>
      <c r="D54" s="52"/>
      <c r="E54" s="53"/>
      <c r="F54" s="54"/>
      <c r="G54" s="52"/>
      <c r="H54" s="170">
        <f>136716-2552</f>
        <v>134164</v>
      </c>
    </row>
    <row r="55" spans="1:8" s="79" customFormat="1" ht="19.8" customHeight="1">
      <c r="A55" s="117"/>
      <c r="B55" s="94"/>
      <c r="C55" s="94"/>
      <c r="D55" s="94"/>
      <c r="E55" s="118"/>
      <c r="F55" s="119"/>
      <c r="G55" s="94"/>
      <c r="H55" s="120">
        <f>SUM(H46:H54)</f>
        <v>3910000</v>
      </c>
    </row>
    <row r="56" spans="1:8">
      <c r="A56" s="35"/>
      <c r="B56" s="35"/>
      <c r="C56" s="35"/>
      <c r="D56" s="35"/>
      <c r="E56" s="36"/>
    </row>
    <row r="57" spans="1:8" ht="18">
      <c r="A57" s="231" t="s">
        <v>22</v>
      </c>
      <c r="B57" s="231"/>
      <c r="C57" s="231" t="s">
        <v>23</v>
      </c>
      <c r="D57" s="231"/>
      <c r="E57" s="231"/>
      <c r="F57" s="1"/>
      <c r="G57" s="231" t="s">
        <v>24</v>
      </c>
      <c r="H57" s="231"/>
    </row>
    <row r="58" spans="1:8" ht="18">
      <c r="A58" s="18"/>
      <c r="B58" s="18"/>
      <c r="C58" s="18"/>
      <c r="D58" s="18"/>
      <c r="E58" s="18"/>
      <c r="F58" s="1"/>
      <c r="G58" s="18"/>
      <c r="H58" s="18"/>
    </row>
    <row r="59" spans="1:8" ht="18">
      <c r="A59" s="18"/>
      <c r="B59" s="18"/>
      <c r="C59" s="18"/>
      <c r="D59" s="18"/>
      <c r="E59" s="18"/>
      <c r="F59" s="1"/>
      <c r="G59" s="18"/>
      <c r="H59" s="18"/>
    </row>
    <row r="60" spans="1:8" ht="18">
      <c r="A60" s="18"/>
      <c r="B60" s="18"/>
      <c r="C60" s="18"/>
      <c r="D60" s="18"/>
      <c r="E60" s="18"/>
      <c r="F60" s="1"/>
      <c r="G60" s="18"/>
      <c r="H60" s="18"/>
    </row>
    <row r="62" spans="1:8" ht="15.6">
      <c r="A62" s="3" t="s">
        <v>0</v>
      </c>
      <c r="B62" s="3"/>
    </row>
    <row r="63" spans="1:8" s="38" customFormat="1" ht="16.8" customHeight="1">
      <c r="A63" s="231" t="s">
        <v>79</v>
      </c>
      <c r="B63" s="231"/>
      <c r="C63" s="231"/>
      <c r="D63" s="231"/>
      <c r="E63" s="231"/>
      <c r="F63" s="231"/>
      <c r="G63" s="231"/>
      <c r="H63" s="231"/>
    </row>
    <row r="64" spans="1:8" s="38" customFormat="1" ht="16.8" customHeight="1">
      <c r="A64" s="37"/>
      <c r="B64" s="232" t="s">
        <v>105</v>
      </c>
      <c r="C64" s="232"/>
      <c r="D64" s="232"/>
      <c r="E64" s="232"/>
      <c r="F64" s="232"/>
      <c r="G64" s="232"/>
      <c r="H64" s="232"/>
    </row>
    <row r="65" spans="1:8" ht="15" customHeight="1">
      <c r="A65" s="4" t="s">
        <v>11</v>
      </c>
      <c r="B65" s="5" t="s">
        <v>12</v>
      </c>
      <c r="C65" s="6" t="s">
        <v>13</v>
      </c>
      <c r="D65" s="7" t="s">
        <v>14</v>
      </c>
      <c r="E65" s="24" t="s">
        <v>15</v>
      </c>
      <c r="F65" s="8" t="s">
        <v>3</v>
      </c>
      <c r="G65" s="4" t="s">
        <v>16</v>
      </c>
      <c r="H65" s="4" t="s">
        <v>17</v>
      </c>
    </row>
    <row r="66" spans="1:8" s="45" customFormat="1" ht="15" customHeight="1">
      <c r="A66" s="240" t="s">
        <v>109</v>
      </c>
      <c r="B66" s="41" t="s">
        <v>18</v>
      </c>
      <c r="C66" s="64">
        <f>E66/D66</f>
        <v>0.11974248927038626</v>
      </c>
      <c r="D66" s="22">
        <v>233</v>
      </c>
      <c r="E66" s="100" t="s">
        <v>106</v>
      </c>
      <c r="F66" s="41" t="s">
        <v>1</v>
      </c>
      <c r="G66" s="65">
        <v>21525</v>
      </c>
      <c r="H66" s="43">
        <f>E66*G66</f>
        <v>600547.5</v>
      </c>
    </row>
    <row r="67" spans="1:8" s="45" customFormat="1" ht="15" customHeight="1">
      <c r="A67" s="241"/>
      <c r="B67" s="22" t="s">
        <v>52</v>
      </c>
      <c r="C67" s="66">
        <f t="shared" ref="C67:C68" si="10">E67/D67</f>
        <v>7.3819742489270382E-2</v>
      </c>
      <c r="D67" s="22">
        <v>233</v>
      </c>
      <c r="E67" s="67">
        <v>17.2</v>
      </c>
      <c r="F67" s="22" t="s">
        <v>1</v>
      </c>
      <c r="G67" s="47">
        <v>130200</v>
      </c>
      <c r="H67" s="48">
        <f>E67*G67-1892</f>
        <v>2237548</v>
      </c>
    </row>
    <row r="68" spans="1:8" s="45" customFormat="1" ht="15" customHeight="1">
      <c r="A68" s="242"/>
      <c r="B68" s="22" t="s">
        <v>28</v>
      </c>
      <c r="C68" s="68">
        <f t="shared" si="10"/>
        <v>3.0472103004291845E-2</v>
      </c>
      <c r="D68" s="22">
        <v>233</v>
      </c>
      <c r="E68" s="46" t="s">
        <v>61</v>
      </c>
      <c r="F68" s="22" t="s">
        <v>1</v>
      </c>
      <c r="G68" s="47">
        <v>67200</v>
      </c>
      <c r="H68" s="48">
        <f>E68*G68</f>
        <v>477120</v>
      </c>
    </row>
    <row r="69" spans="1:8" s="45" customFormat="1" ht="15" customHeight="1">
      <c r="A69" s="242"/>
      <c r="B69" s="22" t="s">
        <v>47</v>
      </c>
      <c r="C69" s="68"/>
      <c r="D69" s="22">
        <v>233</v>
      </c>
      <c r="E69" s="46" t="s">
        <v>35</v>
      </c>
      <c r="F69" s="22" t="s">
        <v>1</v>
      </c>
      <c r="G69" s="47">
        <v>78750</v>
      </c>
      <c r="H69" s="48">
        <f t="shared" ref="H69:H73" si="11">E69*G69</f>
        <v>236250</v>
      </c>
    </row>
    <row r="70" spans="1:8" s="45" customFormat="1" ht="15" customHeight="1">
      <c r="A70" s="242"/>
      <c r="B70" s="22" t="s">
        <v>48</v>
      </c>
      <c r="C70" s="68"/>
      <c r="D70" s="22">
        <v>233</v>
      </c>
      <c r="E70" s="46" t="s">
        <v>107</v>
      </c>
      <c r="F70" s="22" t="s">
        <v>2</v>
      </c>
      <c r="G70" s="47">
        <v>20478</v>
      </c>
      <c r="H70" s="48">
        <f t="shared" si="11"/>
        <v>251879.40000000002</v>
      </c>
    </row>
    <row r="71" spans="1:8" s="45" customFormat="1" ht="15" customHeight="1">
      <c r="A71" s="242"/>
      <c r="B71" s="22" t="s">
        <v>50</v>
      </c>
      <c r="C71" s="22"/>
      <c r="D71" s="22">
        <v>233</v>
      </c>
      <c r="E71" s="46" t="s">
        <v>34</v>
      </c>
      <c r="F71" s="22" t="s">
        <v>1</v>
      </c>
      <c r="G71" s="47">
        <v>63000</v>
      </c>
      <c r="H71" s="48">
        <f t="shared" si="11"/>
        <v>6300</v>
      </c>
    </row>
    <row r="72" spans="1:8" s="45" customFormat="1" ht="15" customHeight="1">
      <c r="A72" s="242"/>
      <c r="B72" s="22" t="s">
        <v>44</v>
      </c>
      <c r="C72" s="70"/>
      <c r="D72" s="22">
        <v>233</v>
      </c>
      <c r="E72" s="46" t="s">
        <v>34</v>
      </c>
      <c r="F72" s="22" t="s">
        <v>1</v>
      </c>
      <c r="G72" s="47">
        <v>60900</v>
      </c>
      <c r="H72" s="48">
        <f t="shared" si="11"/>
        <v>6090</v>
      </c>
    </row>
    <row r="73" spans="1:8" s="45" customFormat="1" ht="15" customHeight="1">
      <c r="A73" s="242"/>
      <c r="B73" s="22" t="s">
        <v>51</v>
      </c>
      <c r="C73" s="52"/>
      <c r="D73" s="22">
        <v>233</v>
      </c>
      <c r="E73" s="46" t="s">
        <v>41</v>
      </c>
      <c r="F73" s="22" t="s">
        <v>1</v>
      </c>
      <c r="G73" s="47">
        <v>42000</v>
      </c>
      <c r="H73" s="48">
        <f t="shared" si="11"/>
        <v>8400</v>
      </c>
    </row>
    <row r="74" spans="1:8" s="45" customFormat="1" ht="15" customHeight="1">
      <c r="A74" s="242"/>
      <c r="B74" s="52" t="s">
        <v>20</v>
      </c>
      <c r="C74" s="52"/>
      <c r="D74" s="22">
        <v>233</v>
      </c>
      <c r="E74" s="53"/>
      <c r="F74" s="54"/>
      <c r="G74" s="52"/>
      <c r="H74" s="57">
        <f>136716+149</f>
        <v>136865</v>
      </c>
    </row>
    <row r="75" spans="1:8" s="45" customFormat="1" ht="22.2" customHeight="1">
      <c r="A75" s="243"/>
      <c r="B75" s="245"/>
      <c r="C75" s="246"/>
      <c r="D75" s="246"/>
      <c r="E75" s="246"/>
      <c r="F75" s="246"/>
      <c r="G75" s="247"/>
      <c r="H75" s="63">
        <f>SUM(H66:H74)</f>
        <v>3960999.9</v>
      </c>
    </row>
    <row r="76" spans="1:8" s="45" customFormat="1" ht="15" customHeight="1">
      <c r="A76" s="233" t="s">
        <v>108</v>
      </c>
      <c r="B76" s="41" t="s">
        <v>18</v>
      </c>
      <c r="C76" s="64">
        <f>E76/D76</f>
        <v>0.11982758620689656</v>
      </c>
      <c r="D76" s="81">
        <v>232</v>
      </c>
      <c r="E76" s="101" t="s">
        <v>56</v>
      </c>
      <c r="F76" s="82" t="s">
        <v>1</v>
      </c>
      <c r="G76" s="65">
        <v>21525</v>
      </c>
      <c r="H76" s="83">
        <f>E76*G76</f>
        <v>598395</v>
      </c>
    </row>
    <row r="77" spans="1:8" s="45" customFormat="1" ht="15" customHeight="1">
      <c r="A77" s="234"/>
      <c r="B77" s="84" t="s">
        <v>37</v>
      </c>
      <c r="C77" s="66">
        <f>E77/D77</f>
        <v>5.6034482758620691E-2</v>
      </c>
      <c r="D77" s="86">
        <v>232</v>
      </c>
      <c r="E77" s="102" t="s">
        <v>49</v>
      </c>
      <c r="F77" s="22" t="s">
        <v>1</v>
      </c>
      <c r="G77" s="87">
        <v>172800</v>
      </c>
      <c r="H77" s="48">
        <f t="shared" ref="H77:H82" si="12">E77*G77</f>
        <v>2246400</v>
      </c>
    </row>
    <row r="78" spans="1:8" s="45" customFormat="1" ht="15" customHeight="1">
      <c r="A78" s="234"/>
      <c r="B78" s="84" t="s">
        <v>38</v>
      </c>
      <c r="C78" s="66">
        <f t="shared" ref="C78:C80" si="13">E78/D78</f>
        <v>3.1896551724137932E-2</v>
      </c>
      <c r="D78" s="86">
        <v>232</v>
      </c>
      <c r="E78" s="102" t="s">
        <v>65</v>
      </c>
      <c r="F78" s="22" t="s">
        <v>1</v>
      </c>
      <c r="G78" s="87">
        <v>89250</v>
      </c>
      <c r="H78" s="48">
        <f t="shared" si="12"/>
        <v>660450</v>
      </c>
    </row>
    <row r="79" spans="1:8" s="45" customFormat="1" ht="15" customHeight="1">
      <c r="A79" s="234"/>
      <c r="B79" s="22" t="s">
        <v>72</v>
      </c>
      <c r="C79" s="66">
        <f t="shared" si="13"/>
        <v>4.3103448275862068E-3</v>
      </c>
      <c r="D79" s="86">
        <v>232</v>
      </c>
      <c r="E79" s="85">
        <v>1</v>
      </c>
      <c r="F79" s="22" t="s">
        <v>2</v>
      </c>
      <c r="G79" s="47">
        <v>137550</v>
      </c>
      <c r="H79" s="48">
        <f t="shared" si="12"/>
        <v>137550</v>
      </c>
    </row>
    <row r="80" spans="1:8" s="45" customFormat="1" ht="15" customHeight="1">
      <c r="A80" s="234"/>
      <c r="B80" s="22" t="s">
        <v>40</v>
      </c>
      <c r="C80" s="85">
        <f t="shared" si="13"/>
        <v>4.3103448275862074E-4</v>
      </c>
      <c r="D80" s="86">
        <v>232</v>
      </c>
      <c r="E80" s="85">
        <v>0.1</v>
      </c>
      <c r="F80" s="22" t="s">
        <v>2</v>
      </c>
      <c r="G80" s="47">
        <v>42000</v>
      </c>
      <c r="H80" s="48">
        <f t="shared" si="12"/>
        <v>4200</v>
      </c>
    </row>
    <row r="81" spans="1:8" s="45" customFormat="1" ht="15" customHeight="1">
      <c r="A81" s="235"/>
      <c r="B81" s="84" t="s">
        <v>73</v>
      </c>
      <c r="C81" s="85"/>
      <c r="D81" s="88"/>
      <c r="E81" s="99">
        <v>8.1999999999999993</v>
      </c>
      <c r="F81" s="22" t="s">
        <v>1</v>
      </c>
      <c r="G81" s="47">
        <v>18900</v>
      </c>
      <c r="H81" s="48">
        <f t="shared" si="12"/>
        <v>154980</v>
      </c>
    </row>
    <row r="82" spans="1:8" s="45" customFormat="1" ht="15" customHeight="1">
      <c r="A82" s="235"/>
      <c r="B82" s="22" t="s">
        <v>44</v>
      </c>
      <c r="C82" s="70"/>
      <c r="D82" s="22"/>
      <c r="E82" s="46" t="s">
        <v>34</v>
      </c>
      <c r="F82" s="22" t="s">
        <v>1</v>
      </c>
      <c r="G82" s="47">
        <v>60900</v>
      </c>
      <c r="H82" s="48">
        <f t="shared" si="12"/>
        <v>6090</v>
      </c>
    </row>
    <row r="83" spans="1:8" s="45" customFormat="1" ht="15" customHeight="1">
      <c r="A83" s="235"/>
      <c r="B83" s="89" t="s">
        <v>20</v>
      </c>
      <c r="C83" s="70"/>
      <c r="D83" s="90"/>
      <c r="E83" s="91"/>
      <c r="F83" s="86" t="s">
        <v>1</v>
      </c>
      <c r="G83" s="47"/>
      <c r="H83" s="57">
        <f>136716-781</f>
        <v>135935</v>
      </c>
    </row>
    <row r="84" spans="1:8" s="72" customFormat="1" ht="18.600000000000001" customHeight="1">
      <c r="A84" s="73"/>
      <c r="B84" s="74"/>
      <c r="C84" s="75"/>
      <c r="D84" s="75"/>
      <c r="E84" s="76"/>
      <c r="F84" s="77"/>
      <c r="G84" s="74"/>
      <c r="H84" s="78">
        <f>SUM(H76:H83)</f>
        <v>3944000</v>
      </c>
    </row>
    <row r="85" spans="1:8" s="126" customFormat="1" ht="15" customHeight="1">
      <c r="A85" s="135"/>
      <c r="B85" s="121" t="s">
        <v>18</v>
      </c>
      <c r="C85" s="122">
        <f>E85/D85</f>
        <v>0.12000000000000001</v>
      </c>
      <c r="D85" s="123">
        <v>230</v>
      </c>
      <c r="E85" s="124" t="s">
        <v>66</v>
      </c>
      <c r="F85" s="121" t="s">
        <v>1</v>
      </c>
      <c r="G85" s="65">
        <v>21525</v>
      </c>
      <c r="H85" s="125">
        <f>E85*G85</f>
        <v>594090</v>
      </c>
    </row>
    <row r="86" spans="1:8" s="126" customFormat="1" ht="15" customHeight="1">
      <c r="A86" s="244" t="s">
        <v>110</v>
      </c>
      <c r="B86" s="123" t="s">
        <v>74</v>
      </c>
      <c r="C86" s="122">
        <f>E86/D86</f>
        <v>4.4347826086956518E-2</v>
      </c>
      <c r="D86" s="123">
        <v>230</v>
      </c>
      <c r="E86" s="127">
        <v>10.199999999999999</v>
      </c>
      <c r="F86" s="123" t="s">
        <v>1</v>
      </c>
      <c r="G86" s="128">
        <v>215250</v>
      </c>
      <c r="H86" s="129">
        <f>E86*G86</f>
        <v>2195550</v>
      </c>
    </row>
    <row r="87" spans="1:8" s="126" customFormat="1" ht="15" customHeight="1">
      <c r="A87" s="244"/>
      <c r="B87" s="123" t="s">
        <v>52</v>
      </c>
      <c r="C87" s="122">
        <f t="shared" ref="C87" si="14">E87/D87</f>
        <v>1.7391304347826087E-2</v>
      </c>
      <c r="D87" s="123">
        <v>230</v>
      </c>
      <c r="E87" s="127">
        <v>4</v>
      </c>
      <c r="F87" s="123" t="s">
        <v>1</v>
      </c>
      <c r="G87" s="128">
        <v>123900</v>
      </c>
      <c r="H87" s="129">
        <f t="shared" ref="H87:H91" si="15">E87*G87</f>
        <v>495600</v>
      </c>
    </row>
    <row r="88" spans="1:8" s="126" customFormat="1" ht="15" customHeight="1">
      <c r="A88" s="244"/>
      <c r="B88" s="123" t="s">
        <v>47</v>
      </c>
      <c r="C88" s="150"/>
      <c r="D88" s="123">
        <v>230</v>
      </c>
      <c r="E88" s="151" t="s">
        <v>35</v>
      </c>
      <c r="F88" s="123" t="s">
        <v>1</v>
      </c>
      <c r="G88" s="128">
        <v>78750</v>
      </c>
      <c r="H88" s="129">
        <f t="shared" si="15"/>
        <v>236250</v>
      </c>
    </row>
    <row r="89" spans="1:8" s="126" customFormat="1" ht="15" customHeight="1">
      <c r="A89" s="244"/>
      <c r="B89" s="123" t="s">
        <v>48</v>
      </c>
      <c r="C89" s="150"/>
      <c r="D89" s="123">
        <v>230</v>
      </c>
      <c r="E89" s="151" t="s">
        <v>111</v>
      </c>
      <c r="F89" s="123" t="s">
        <v>2</v>
      </c>
      <c r="G89" s="128">
        <v>20478</v>
      </c>
      <c r="H89" s="129">
        <f t="shared" si="15"/>
        <v>243688.2</v>
      </c>
    </row>
    <row r="90" spans="1:8" s="126" customFormat="1" ht="15" customHeight="1">
      <c r="A90" s="244"/>
      <c r="B90" s="22" t="s">
        <v>50</v>
      </c>
      <c r="C90" s="22"/>
      <c r="D90" s="123">
        <v>230</v>
      </c>
      <c r="E90" s="46" t="s">
        <v>34</v>
      </c>
      <c r="F90" s="22" t="s">
        <v>1</v>
      </c>
      <c r="G90" s="47">
        <v>63000</v>
      </c>
      <c r="H90" s="48">
        <f t="shared" si="15"/>
        <v>6300</v>
      </c>
    </row>
    <row r="91" spans="1:8" s="126" customFormat="1" ht="15" customHeight="1">
      <c r="A91" s="244"/>
      <c r="B91" s="123" t="s">
        <v>36</v>
      </c>
      <c r="C91" s="134"/>
      <c r="D91" s="123"/>
      <c r="E91" s="131">
        <v>0.1</v>
      </c>
      <c r="F91" s="123" t="s">
        <v>1</v>
      </c>
      <c r="G91" s="133">
        <v>42000</v>
      </c>
      <c r="H91" s="129">
        <f t="shared" si="15"/>
        <v>4200</v>
      </c>
    </row>
    <row r="92" spans="1:8" s="126" customFormat="1" ht="15" customHeight="1">
      <c r="A92" s="244"/>
      <c r="B92" s="136" t="s">
        <v>20</v>
      </c>
      <c r="C92" s="137"/>
      <c r="D92" s="138"/>
      <c r="E92" s="139"/>
      <c r="F92" s="140"/>
      <c r="G92" s="133"/>
      <c r="H92" s="141">
        <f>136000-1678</f>
        <v>134322</v>
      </c>
    </row>
    <row r="93" spans="1:8" s="58" customFormat="1" ht="20.399999999999999" customHeight="1">
      <c r="A93" s="113"/>
      <c r="B93" s="172"/>
      <c r="C93" s="173"/>
      <c r="D93" s="173"/>
      <c r="E93" s="173"/>
      <c r="F93" s="173"/>
      <c r="G93" s="174"/>
      <c r="H93" s="116">
        <f>SUM(H85:H92)</f>
        <v>3910000.2</v>
      </c>
    </row>
    <row r="94" spans="1:8" s="58" customFormat="1" ht="20.399999999999999" customHeight="1">
      <c r="A94" s="237" t="s">
        <v>112</v>
      </c>
      <c r="B94" s="39" t="s">
        <v>18</v>
      </c>
      <c r="C94" s="156">
        <f>E94/D94</f>
        <v>0.11991341991341992</v>
      </c>
      <c r="D94" s="110">
        <v>231</v>
      </c>
      <c r="E94" s="101" t="s">
        <v>60</v>
      </c>
      <c r="F94" s="157" t="s">
        <v>1</v>
      </c>
      <c r="G94" s="158">
        <v>21525</v>
      </c>
      <c r="H94" s="159">
        <f>E94*G94</f>
        <v>596242.5</v>
      </c>
    </row>
    <row r="95" spans="1:8" s="58" customFormat="1" ht="20.399999999999999" customHeight="1">
      <c r="A95" s="238"/>
      <c r="B95" s="110" t="s">
        <v>4</v>
      </c>
      <c r="C95" s="160">
        <f t="shared" ref="C95:C97" si="16">E95/D95</f>
        <v>6.9696969696969702E-2</v>
      </c>
      <c r="D95" s="110">
        <v>231</v>
      </c>
      <c r="E95" s="161">
        <v>16.100000000000001</v>
      </c>
      <c r="F95" s="110" t="s">
        <v>1</v>
      </c>
      <c r="G95" s="162">
        <v>137550</v>
      </c>
      <c r="H95" s="163">
        <f>E95*G95-1892</f>
        <v>2212663</v>
      </c>
    </row>
    <row r="96" spans="1:8" s="58" customFormat="1" ht="20.399999999999999" customHeight="1">
      <c r="A96" s="238"/>
      <c r="B96" s="110" t="s">
        <v>26</v>
      </c>
      <c r="C96" s="164">
        <f t="shared" si="16"/>
        <v>3.0303030303030303E-3</v>
      </c>
      <c r="D96" s="110">
        <v>231</v>
      </c>
      <c r="E96" s="165" t="s">
        <v>27</v>
      </c>
      <c r="F96" s="110" t="s">
        <v>1</v>
      </c>
      <c r="G96" s="162">
        <v>304500</v>
      </c>
      <c r="H96" s="163">
        <f>E96*G96</f>
        <v>213150</v>
      </c>
    </row>
    <row r="97" spans="1:8" s="58" customFormat="1" ht="20.399999999999999" customHeight="1">
      <c r="A97" s="238"/>
      <c r="B97" s="110" t="s">
        <v>28</v>
      </c>
      <c r="C97" s="164">
        <f t="shared" si="16"/>
        <v>3.896103896103896E-2</v>
      </c>
      <c r="D97" s="110">
        <v>231</v>
      </c>
      <c r="E97" s="165" t="s">
        <v>68</v>
      </c>
      <c r="F97" s="110" t="s">
        <v>1</v>
      </c>
      <c r="G97" s="162">
        <v>67200</v>
      </c>
      <c r="H97" s="163">
        <f>E97*G97</f>
        <v>604800</v>
      </c>
    </row>
    <row r="98" spans="1:8" s="58" customFormat="1" ht="20.399999999999999" customHeight="1">
      <c r="A98" s="238"/>
      <c r="B98" s="84" t="s">
        <v>73</v>
      </c>
      <c r="C98" s="85"/>
      <c r="D98" s="88"/>
      <c r="E98" s="99">
        <v>8.1999999999999993</v>
      </c>
      <c r="F98" s="22" t="s">
        <v>1</v>
      </c>
      <c r="G98" s="47">
        <v>18900</v>
      </c>
      <c r="H98" s="48">
        <f t="shared" ref="H98:H100" si="17">E98*G98</f>
        <v>154980</v>
      </c>
    </row>
    <row r="99" spans="1:8" s="58" customFormat="1" ht="20.399999999999999" customHeight="1">
      <c r="A99" s="238"/>
      <c r="B99" s="110" t="s">
        <v>29</v>
      </c>
      <c r="C99" s="160"/>
      <c r="D99" s="110"/>
      <c r="E99" s="165" t="s">
        <v>34</v>
      </c>
      <c r="F99" s="110" t="s">
        <v>2</v>
      </c>
      <c r="G99" s="162">
        <v>42000</v>
      </c>
      <c r="H99" s="163">
        <f t="shared" si="17"/>
        <v>4200</v>
      </c>
    </row>
    <row r="100" spans="1:8" s="58" customFormat="1" ht="20.399999999999999" customHeight="1">
      <c r="A100" s="238"/>
      <c r="B100" s="110" t="s">
        <v>8</v>
      </c>
      <c r="C100" s="111"/>
      <c r="D100" s="110"/>
      <c r="E100" s="166">
        <v>0.1</v>
      </c>
      <c r="F100" s="110" t="s">
        <v>1</v>
      </c>
      <c r="G100" s="162">
        <v>60900</v>
      </c>
      <c r="H100" s="163">
        <f t="shared" si="17"/>
        <v>6090</v>
      </c>
    </row>
    <row r="101" spans="1:8" s="58" customFormat="1" ht="20.399999999999999" customHeight="1">
      <c r="A101" s="238"/>
      <c r="B101" s="167" t="s">
        <v>20</v>
      </c>
      <c r="C101" s="167"/>
      <c r="D101" s="167"/>
      <c r="E101" s="168"/>
      <c r="F101" s="169"/>
      <c r="G101" s="167"/>
      <c r="H101" s="170">
        <f>136716-1842</f>
        <v>134874</v>
      </c>
    </row>
    <row r="102" spans="1:8" s="58" customFormat="1" ht="20.399999999999999" customHeight="1">
      <c r="A102" s="113"/>
      <c r="B102" s="114"/>
      <c r="C102" s="115"/>
      <c r="D102" s="115"/>
      <c r="E102" s="115"/>
      <c r="F102" s="115"/>
      <c r="G102" s="115"/>
      <c r="H102" s="116">
        <f>SUM(H94:H101)</f>
        <v>3926999.5</v>
      </c>
    </row>
    <row r="103" spans="1:8" s="58" customFormat="1" ht="15" customHeight="1">
      <c r="A103" s="230" t="s">
        <v>113</v>
      </c>
      <c r="B103" s="39" t="s">
        <v>18</v>
      </c>
      <c r="C103" s="156">
        <f>E103/D103</f>
        <v>0.12069565217391305</v>
      </c>
      <c r="D103" s="110">
        <v>230</v>
      </c>
      <c r="E103" s="101" t="s">
        <v>114</v>
      </c>
      <c r="F103" s="157" t="s">
        <v>1</v>
      </c>
      <c r="G103" s="158">
        <v>21525</v>
      </c>
      <c r="H103" s="159">
        <f>E103*G103</f>
        <v>597534</v>
      </c>
    </row>
    <row r="104" spans="1:8" s="58" customFormat="1" ht="15" customHeight="1">
      <c r="A104" s="230"/>
      <c r="B104" s="157" t="s">
        <v>87</v>
      </c>
      <c r="C104" s="160">
        <f t="shared" ref="C104:C106" si="18">E104/D104</f>
        <v>7.9565217391304358E-2</v>
      </c>
      <c r="D104" s="110">
        <v>230</v>
      </c>
      <c r="E104" s="101" t="s">
        <v>115</v>
      </c>
      <c r="F104" s="110" t="s">
        <v>1</v>
      </c>
      <c r="G104" s="158">
        <v>128100</v>
      </c>
      <c r="H104" s="163">
        <f>G104*E104</f>
        <v>2344230</v>
      </c>
    </row>
    <row r="105" spans="1:8" s="58" customFormat="1" ht="15" customHeight="1">
      <c r="A105" s="230"/>
      <c r="B105" s="110" t="s">
        <v>4</v>
      </c>
      <c r="C105" s="160">
        <f t="shared" si="18"/>
        <v>4.3478260869565218E-3</v>
      </c>
      <c r="D105" s="110">
        <v>230</v>
      </c>
      <c r="E105" s="161">
        <v>1</v>
      </c>
      <c r="F105" s="110" t="s">
        <v>1</v>
      </c>
      <c r="G105" s="162">
        <v>137550</v>
      </c>
      <c r="H105" s="163">
        <f>E105*G105-1892</f>
        <v>135658</v>
      </c>
    </row>
    <row r="106" spans="1:8" s="58" customFormat="1" ht="15" customHeight="1">
      <c r="A106" s="230"/>
      <c r="B106" s="110" t="s">
        <v>5</v>
      </c>
      <c r="C106" s="164">
        <f t="shared" si="18"/>
        <v>0.56956521739130439</v>
      </c>
      <c r="D106" s="110">
        <v>230</v>
      </c>
      <c r="E106" s="165" t="s">
        <v>88</v>
      </c>
      <c r="F106" s="110" t="s">
        <v>1</v>
      </c>
      <c r="G106" s="162">
        <v>3510</v>
      </c>
      <c r="H106" s="163">
        <f>E106*G106</f>
        <v>459810</v>
      </c>
    </row>
    <row r="107" spans="1:8" s="58" customFormat="1" ht="15" customHeight="1">
      <c r="A107" s="230"/>
      <c r="B107" s="110" t="s">
        <v>90</v>
      </c>
      <c r="C107" s="164"/>
      <c r="D107" s="110"/>
      <c r="E107" s="165" t="s">
        <v>92</v>
      </c>
      <c r="F107" s="110" t="s">
        <v>91</v>
      </c>
      <c r="G107" s="162">
        <v>37800</v>
      </c>
      <c r="H107" s="163">
        <f>E107*G107</f>
        <v>75600</v>
      </c>
    </row>
    <row r="108" spans="1:8" s="58" customFormat="1" ht="15" customHeight="1">
      <c r="A108" s="171"/>
      <c r="B108" s="110" t="s">
        <v>100</v>
      </c>
      <c r="C108" s="164"/>
      <c r="D108" s="110"/>
      <c r="E108" s="165" t="s">
        <v>21</v>
      </c>
      <c r="F108" s="110" t="s">
        <v>2</v>
      </c>
      <c r="G108" s="162">
        <v>44280</v>
      </c>
      <c r="H108" s="163">
        <f>E108*G108</f>
        <v>44280</v>
      </c>
    </row>
    <row r="109" spans="1:8" s="58" customFormat="1" ht="15" customHeight="1">
      <c r="A109" s="171"/>
      <c r="B109" s="110" t="s">
        <v>101</v>
      </c>
      <c r="C109" s="164"/>
      <c r="D109" s="110"/>
      <c r="E109" s="165" t="s">
        <v>104</v>
      </c>
      <c r="F109" s="110" t="s">
        <v>1</v>
      </c>
      <c r="G109" s="162">
        <v>21000</v>
      </c>
      <c r="H109" s="163">
        <f t="shared" ref="H109:H111" si="19">E109*G109</f>
        <v>107099.99999999999</v>
      </c>
    </row>
    <row r="110" spans="1:8" s="58" customFormat="1" ht="15" customHeight="1">
      <c r="A110" s="171"/>
      <c r="B110" s="110" t="s">
        <v>29</v>
      </c>
      <c r="C110" s="160"/>
      <c r="D110" s="110"/>
      <c r="E110" s="165" t="s">
        <v>34</v>
      </c>
      <c r="F110" s="110" t="s">
        <v>2</v>
      </c>
      <c r="G110" s="162">
        <v>42000</v>
      </c>
      <c r="H110" s="163">
        <f t="shared" si="19"/>
        <v>4200</v>
      </c>
    </row>
    <row r="111" spans="1:8" s="58" customFormat="1" ht="15" customHeight="1">
      <c r="A111" s="171"/>
      <c r="B111" s="110" t="s">
        <v>8</v>
      </c>
      <c r="C111" s="111"/>
      <c r="D111" s="110"/>
      <c r="E111" s="166">
        <v>0.1</v>
      </c>
      <c r="F111" s="110" t="s">
        <v>1</v>
      </c>
      <c r="G111" s="162">
        <v>60900</v>
      </c>
      <c r="H111" s="163">
        <f t="shared" si="19"/>
        <v>6090</v>
      </c>
    </row>
    <row r="112" spans="1:8" s="58" customFormat="1" ht="15" customHeight="1">
      <c r="A112" s="171"/>
      <c r="B112" s="167" t="s">
        <v>20</v>
      </c>
      <c r="C112" s="167"/>
      <c r="D112" s="167"/>
      <c r="E112" s="168"/>
      <c r="F112" s="169"/>
      <c r="G112" s="167"/>
      <c r="H112" s="170">
        <f>136716-1218</f>
        <v>135498</v>
      </c>
    </row>
    <row r="113" spans="1:8" s="79" customFormat="1" ht="19.8" customHeight="1">
      <c r="A113" s="117"/>
      <c r="B113" s="94"/>
      <c r="C113" s="94"/>
      <c r="D113" s="94"/>
      <c r="E113" s="118"/>
      <c r="F113" s="119"/>
      <c r="G113" s="94"/>
      <c r="H113" s="120">
        <f>SUM(H103:H112)</f>
        <v>3910000</v>
      </c>
    </row>
    <row r="114" spans="1:8">
      <c r="A114" s="35"/>
      <c r="B114" s="35"/>
      <c r="C114" s="35"/>
      <c r="D114" s="35"/>
      <c r="E114" s="36"/>
    </row>
    <row r="115" spans="1:8" ht="18">
      <c r="A115" s="231" t="s">
        <v>22</v>
      </c>
      <c r="B115" s="231"/>
      <c r="C115" s="231" t="s">
        <v>23</v>
      </c>
      <c r="D115" s="231"/>
      <c r="E115" s="231"/>
      <c r="F115" s="1"/>
      <c r="G115" s="231" t="s">
        <v>24</v>
      </c>
      <c r="H115" s="231"/>
    </row>
    <row r="116" spans="1:8" ht="18">
      <c r="A116" s="18"/>
      <c r="B116" s="18"/>
      <c r="C116" s="18"/>
      <c r="D116" s="18"/>
      <c r="E116" s="18"/>
      <c r="F116" s="1"/>
      <c r="G116" s="18"/>
      <c r="H116" s="18"/>
    </row>
    <row r="117" spans="1:8" ht="18">
      <c r="A117" s="18"/>
      <c r="B117" s="18"/>
      <c r="C117" s="18"/>
      <c r="D117" s="18"/>
      <c r="E117" s="18"/>
      <c r="F117" s="1"/>
      <c r="G117" s="18"/>
      <c r="H117" s="18"/>
    </row>
    <row r="118" spans="1:8" ht="18">
      <c r="A118" s="18"/>
      <c r="B118" s="18"/>
      <c r="C118" s="18"/>
      <c r="D118" s="18"/>
      <c r="E118" s="18"/>
      <c r="F118" s="1"/>
      <c r="G118" s="18"/>
      <c r="H118" s="18"/>
    </row>
    <row r="119" spans="1:8" ht="15.6">
      <c r="A119" s="3" t="s">
        <v>0</v>
      </c>
      <c r="B119" s="3"/>
    </row>
    <row r="120" spans="1:8" s="38" customFormat="1" ht="16.8" customHeight="1">
      <c r="A120" s="231" t="s">
        <v>79</v>
      </c>
      <c r="B120" s="231"/>
      <c r="C120" s="231"/>
      <c r="D120" s="231"/>
      <c r="E120" s="231"/>
      <c r="F120" s="231"/>
      <c r="G120" s="231"/>
      <c r="H120" s="231"/>
    </row>
    <row r="121" spans="1:8" s="38" customFormat="1" ht="16.8" customHeight="1">
      <c r="A121" s="37"/>
      <c r="B121" s="232" t="s">
        <v>96</v>
      </c>
      <c r="C121" s="232"/>
      <c r="D121" s="232"/>
      <c r="E121" s="232"/>
      <c r="F121" s="232"/>
      <c r="G121" s="232"/>
      <c r="H121" s="232"/>
    </row>
    <row r="122" spans="1:8" ht="15" customHeight="1">
      <c r="A122" s="4" t="s">
        <v>11</v>
      </c>
      <c r="B122" s="5" t="s">
        <v>12</v>
      </c>
      <c r="C122" s="6" t="s">
        <v>13</v>
      </c>
      <c r="D122" s="7" t="s">
        <v>14</v>
      </c>
      <c r="E122" s="24" t="s">
        <v>15</v>
      </c>
      <c r="F122" s="8" t="s">
        <v>3</v>
      </c>
      <c r="G122" s="4" t="s">
        <v>16</v>
      </c>
      <c r="H122" s="4" t="s">
        <v>17</v>
      </c>
    </row>
    <row r="123" spans="1:8" s="45" customFormat="1" ht="15" customHeight="1">
      <c r="A123" s="240" t="s">
        <v>94</v>
      </c>
      <c r="B123" s="41" t="s">
        <v>18</v>
      </c>
      <c r="C123" s="64">
        <f>E123/D123</f>
        <v>0.11991341991341992</v>
      </c>
      <c r="D123" s="22">
        <v>231</v>
      </c>
      <c r="E123" s="100" t="s">
        <v>60</v>
      </c>
      <c r="F123" s="41" t="s">
        <v>1</v>
      </c>
      <c r="G123" s="65">
        <v>21525</v>
      </c>
      <c r="H123" s="43">
        <f>E123*G123</f>
        <v>596242.5</v>
      </c>
    </row>
    <row r="124" spans="1:8" s="45" customFormat="1" ht="15" customHeight="1">
      <c r="A124" s="241"/>
      <c r="B124" s="22" t="s">
        <v>52</v>
      </c>
      <c r="C124" s="66">
        <f t="shared" ref="C124:C125" si="20">E124/D124</f>
        <v>7.3593073593073599E-2</v>
      </c>
      <c r="D124" s="22">
        <v>231</v>
      </c>
      <c r="E124" s="67">
        <v>17</v>
      </c>
      <c r="F124" s="22" t="s">
        <v>1</v>
      </c>
      <c r="G124" s="47">
        <v>130200</v>
      </c>
      <c r="H124" s="48">
        <f>E124*G124-1892</f>
        <v>2211508</v>
      </c>
    </row>
    <row r="125" spans="1:8" s="45" customFormat="1" ht="15" customHeight="1">
      <c r="A125" s="242"/>
      <c r="B125" s="22" t="s">
        <v>28</v>
      </c>
      <c r="C125" s="68">
        <f t="shared" si="20"/>
        <v>3.0735930735930735E-2</v>
      </c>
      <c r="D125" s="22">
        <v>231</v>
      </c>
      <c r="E125" s="46" t="s">
        <v>61</v>
      </c>
      <c r="F125" s="22" t="s">
        <v>1</v>
      </c>
      <c r="G125" s="47">
        <v>67200</v>
      </c>
      <c r="H125" s="48">
        <f>E125*G125</f>
        <v>477120</v>
      </c>
    </row>
    <row r="126" spans="1:8" s="45" customFormat="1" ht="15" customHeight="1">
      <c r="A126" s="242"/>
      <c r="B126" s="22" t="s">
        <v>47</v>
      </c>
      <c r="C126" s="68"/>
      <c r="D126" s="22">
        <v>231</v>
      </c>
      <c r="E126" s="46" t="s">
        <v>35</v>
      </c>
      <c r="F126" s="22" t="s">
        <v>1</v>
      </c>
      <c r="G126" s="47">
        <v>78750</v>
      </c>
      <c r="H126" s="48">
        <f t="shared" ref="H126:H130" si="21">E126*G126</f>
        <v>236250</v>
      </c>
    </row>
    <row r="127" spans="1:8" s="45" customFormat="1" ht="15" customHeight="1">
      <c r="A127" s="242"/>
      <c r="B127" s="22" t="s">
        <v>48</v>
      </c>
      <c r="C127" s="68"/>
      <c r="D127" s="22">
        <v>231</v>
      </c>
      <c r="E127" s="46" t="s">
        <v>85</v>
      </c>
      <c r="F127" s="22" t="s">
        <v>2</v>
      </c>
      <c r="G127" s="47">
        <v>20478</v>
      </c>
      <c r="H127" s="48">
        <f t="shared" si="21"/>
        <v>247783.8</v>
      </c>
    </row>
    <row r="128" spans="1:8" s="45" customFormat="1" ht="15" customHeight="1">
      <c r="A128" s="242"/>
      <c r="B128" s="22" t="s">
        <v>50</v>
      </c>
      <c r="C128" s="22"/>
      <c r="D128" s="22">
        <v>231</v>
      </c>
      <c r="E128" s="46" t="s">
        <v>34</v>
      </c>
      <c r="F128" s="22" t="s">
        <v>1</v>
      </c>
      <c r="G128" s="47">
        <v>63000</v>
      </c>
      <c r="H128" s="48">
        <f t="shared" si="21"/>
        <v>6300</v>
      </c>
    </row>
    <row r="129" spans="1:8" s="45" customFormat="1" ht="15" customHeight="1">
      <c r="A129" s="242"/>
      <c r="B129" s="22" t="s">
        <v>44</v>
      </c>
      <c r="C129" s="70"/>
      <c r="D129" s="22">
        <v>231</v>
      </c>
      <c r="E129" s="46" t="s">
        <v>34</v>
      </c>
      <c r="F129" s="22" t="s">
        <v>1</v>
      </c>
      <c r="G129" s="47">
        <v>60900</v>
      </c>
      <c r="H129" s="48">
        <f t="shared" si="21"/>
        <v>6090</v>
      </c>
    </row>
    <row r="130" spans="1:8" s="45" customFormat="1" ht="15" customHeight="1">
      <c r="A130" s="242"/>
      <c r="B130" s="22" t="s">
        <v>51</v>
      </c>
      <c r="C130" s="52"/>
      <c r="D130" s="22">
        <v>231</v>
      </c>
      <c r="E130" s="46" t="s">
        <v>41</v>
      </c>
      <c r="F130" s="22" t="s">
        <v>1</v>
      </c>
      <c r="G130" s="47">
        <v>42000</v>
      </c>
      <c r="H130" s="48">
        <f t="shared" si="21"/>
        <v>8400</v>
      </c>
    </row>
    <row r="131" spans="1:8" s="45" customFormat="1" ht="15" customHeight="1">
      <c r="A131" s="242"/>
      <c r="B131" s="52" t="s">
        <v>20</v>
      </c>
      <c r="C131" s="52"/>
      <c r="D131" s="22">
        <v>231</v>
      </c>
      <c r="E131" s="53"/>
      <c r="F131" s="54"/>
      <c r="G131" s="52"/>
      <c r="H131" s="57">
        <f>136716+558.7+31</f>
        <v>137305.70000000001</v>
      </c>
    </row>
    <row r="132" spans="1:8" s="45" customFormat="1" ht="22.2" customHeight="1">
      <c r="A132" s="243"/>
      <c r="B132" s="245"/>
      <c r="C132" s="246"/>
      <c r="D132" s="246"/>
      <c r="E132" s="246"/>
      <c r="F132" s="246"/>
      <c r="G132" s="247"/>
      <c r="H132" s="63">
        <f>SUM(H123:H131)</f>
        <v>3927000</v>
      </c>
    </row>
    <row r="133" spans="1:8" s="45" customFormat="1" ht="15" customHeight="1">
      <c r="A133" s="233" t="s">
        <v>95</v>
      </c>
      <c r="B133" s="121" t="s">
        <v>18</v>
      </c>
      <c r="C133" s="122">
        <f>E133/D133</f>
        <v>0.12000000000000001</v>
      </c>
      <c r="D133" s="123">
        <v>230</v>
      </c>
      <c r="E133" s="124" t="s">
        <v>66</v>
      </c>
      <c r="F133" s="121" t="s">
        <v>1</v>
      </c>
      <c r="G133" s="65">
        <v>21525</v>
      </c>
      <c r="H133" s="125">
        <f>E133*G133</f>
        <v>594090</v>
      </c>
    </row>
    <row r="134" spans="1:8" s="45" customFormat="1" ht="15" customHeight="1">
      <c r="A134" s="234"/>
      <c r="B134" s="123" t="s">
        <v>74</v>
      </c>
      <c r="C134" s="122">
        <f>E134/D134</f>
        <v>3.9130434782608699E-2</v>
      </c>
      <c r="D134" s="123">
        <v>230</v>
      </c>
      <c r="E134" s="127">
        <v>9</v>
      </c>
      <c r="F134" s="123" t="s">
        <v>1</v>
      </c>
      <c r="G134" s="128">
        <v>215250</v>
      </c>
      <c r="H134" s="129">
        <f>E134*G134</f>
        <v>1937250</v>
      </c>
    </row>
    <row r="135" spans="1:8" s="45" customFormat="1" ht="15" customHeight="1">
      <c r="A135" s="234"/>
      <c r="B135" s="123" t="s">
        <v>52</v>
      </c>
      <c r="C135" s="122">
        <f t="shared" ref="C135:C138" si="22">E135/D135</f>
        <v>1.7391304347826087E-2</v>
      </c>
      <c r="D135" s="123">
        <v>230</v>
      </c>
      <c r="E135" s="127">
        <v>4</v>
      </c>
      <c r="F135" s="123" t="s">
        <v>1</v>
      </c>
      <c r="G135" s="128">
        <v>123900</v>
      </c>
      <c r="H135" s="129">
        <f t="shared" ref="H135:H137" si="23">E135*G135</f>
        <v>495600</v>
      </c>
    </row>
    <row r="136" spans="1:8" s="45" customFormat="1" ht="15" customHeight="1">
      <c r="A136" s="234"/>
      <c r="B136" s="123" t="s">
        <v>4</v>
      </c>
      <c r="C136" s="122">
        <f t="shared" si="22"/>
        <v>4.3478260869565218E-3</v>
      </c>
      <c r="D136" s="123">
        <v>230</v>
      </c>
      <c r="E136" s="130">
        <v>1</v>
      </c>
      <c r="F136" s="123" t="s">
        <v>1</v>
      </c>
      <c r="G136" s="128">
        <v>137550</v>
      </c>
      <c r="H136" s="129">
        <f t="shared" si="23"/>
        <v>137550</v>
      </c>
    </row>
    <row r="137" spans="1:8" s="45" customFormat="1" ht="15" customHeight="1">
      <c r="A137" s="234"/>
      <c r="B137" s="123" t="s">
        <v>6</v>
      </c>
      <c r="C137" s="122">
        <f t="shared" si="22"/>
        <v>4.3478260869565218E-3</v>
      </c>
      <c r="D137" s="123">
        <v>230</v>
      </c>
      <c r="E137" s="131">
        <v>1</v>
      </c>
      <c r="F137" s="123" t="s">
        <v>1</v>
      </c>
      <c r="G137" s="128">
        <v>44280</v>
      </c>
      <c r="H137" s="129">
        <f t="shared" si="23"/>
        <v>44280</v>
      </c>
    </row>
    <row r="138" spans="1:8" s="45" customFormat="1" ht="15" customHeight="1">
      <c r="A138" s="235"/>
      <c r="B138" s="123" t="s">
        <v>25</v>
      </c>
      <c r="C138" s="122">
        <f t="shared" si="22"/>
        <v>4.1304347826086954E-2</v>
      </c>
      <c r="D138" s="123">
        <v>230</v>
      </c>
      <c r="E138" s="131">
        <v>9.5</v>
      </c>
      <c r="F138" s="123" t="s">
        <v>1</v>
      </c>
      <c r="G138" s="128">
        <v>42000</v>
      </c>
      <c r="H138" s="129">
        <f>E138*G138</f>
        <v>399000</v>
      </c>
    </row>
    <row r="139" spans="1:8" s="45" customFormat="1" ht="15" customHeight="1">
      <c r="A139" s="235"/>
      <c r="B139" s="123" t="s">
        <v>59</v>
      </c>
      <c r="C139" s="132"/>
      <c r="D139" s="123"/>
      <c r="E139" s="131">
        <v>7.4</v>
      </c>
      <c r="F139" s="123" t="s">
        <v>1</v>
      </c>
      <c r="G139" s="133">
        <v>21000</v>
      </c>
      <c r="H139" s="129">
        <f t="shared" ref="H139:H141" si="24">E139*G139</f>
        <v>155400</v>
      </c>
    </row>
    <row r="140" spans="1:8" s="45" customFormat="1" ht="15" customHeight="1">
      <c r="A140" s="235"/>
      <c r="B140" s="123" t="s">
        <v>8</v>
      </c>
      <c r="C140" s="134"/>
      <c r="D140" s="123"/>
      <c r="E140" s="131">
        <v>0.1</v>
      </c>
      <c r="F140" s="123" t="s">
        <v>1</v>
      </c>
      <c r="G140" s="128">
        <v>60900</v>
      </c>
      <c r="H140" s="129">
        <f t="shared" si="24"/>
        <v>6090</v>
      </c>
    </row>
    <row r="141" spans="1:8" s="45" customFormat="1" ht="15" customHeight="1">
      <c r="A141" s="235"/>
      <c r="B141" s="123" t="s">
        <v>36</v>
      </c>
      <c r="C141" s="134"/>
      <c r="D141" s="123"/>
      <c r="E141" s="131">
        <v>0.1</v>
      </c>
      <c r="F141" s="123" t="s">
        <v>1</v>
      </c>
      <c r="G141" s="133">
        <v>42000</v>
      </c>
      <c r="H141" s="129">
        <f t="shared" si="24"/>
        <v>4200</v>
      </c>
    </row>
    <row r="142" spans="1:8" s="72" customFormat="1" ht="15" customHeight="1">
      <c r="A142" s="235"/>
      <c r="B142" s="136" t="s">
        <v>20</v>
      </c>
      <c r="C142" s="137"/>
      <c r="D142" s="138"/>
      <c r="E142" s="139"/>
      <c r="F142" s="140"/>
      <c r="G142" s="133"/>
      <c r="H142" s="141">
        <f>136000+540</f>
        <v>136540</v>
      </c>
    </row>
    <row r="143" spans="1:8" s="72" customFormat="1" ht="18.600000000000001" customHeight="1">
      <c r="A143" s="73"/>
      <c r="B143" s="74"/>
      <c r="C143" s="75"/>
      <c r="D143" s="75"/>
      <c r="E143" s="76"/>
      <c r="F143" s="77"/>
      <c r="G143" s="74"/>
      <c r="H143" s="78">
        <f>SUM(H133:H142)</f>
        <v>3910000</v>
      </c>
    </row>
    <row r="144" spans="1:8" s="45" customFormat="1" ht="15" customHeight="1">
      <c r="A144" s="49"/>
      <c r="B144" s="41" t="s">
        <v>18</v>
      </c>
      <c r="C144" s="64">
        <f>E144/D144</f>
        <v>0.11991341991341992</v>
      </c>
      <c r="D144" s="81">
        <v>231</v>
      </c>
      <c r="E144" s="101" t="s">
        <v>60</v>
      </c>
      <c r="F144" s="82" t="s">
        <v>1</v>
      </c>
      <c r="G144" s="65">
        <v>21525</v>
      </c>
      <c r="H144" s="83">
        <f>E144*G144</f>
        <v>596242.5</v>
      </c>
    </row>
    <row r="145" spans="1:8" s="45" customFormat="1" ht="15" customHeight="1">
      <c r="A145" s="234" t="s">
        <v>97</v>
      </c>
      <c r="B145" s="84" t="s">
        <v>37</v>
      </c>
      <c r="C145" s="66">
        <f>E145/D145</f>
        <v>5.627705627705628E-2</v>
      </c>
      <c r="D145" s="86">
        <v>231</v>
      </c>
      <c r="E145" s="102" t="s">
        <v>49</v>
      </c>
      <c r="F145" s="22" t="s">
        <v>1</v>
      </c>
      <c r="G145" s="87">
        <v>172800</v>
      </c>
      <c r="H145" s="48">
        <f t="shared" ref="H145:H150" si="25">E145*G145</f>
        <v>2246400</v>
      </c>
    </row>
    <row r="146" spans="1:8" s="45" customFormat="1" ht="15" customHeight="1">
      <c r="A146" s="234"/>
      <c r="B146" s="84" t="s">
        <v>38</v>
      </c>
      <c r="C146" s="66">
        <f t="shared" ref="C146:C148" si="26">E146/D146</f>
        <v>3.1601731601731603E-2</v>
      </c>
      <c r="D146" s="86">
        <v>231</v>
      </c>
      <c r="E146" s="102" t="s">
        <v>71</v>
      </c>
      <c r="F146" s="22" t="s">
        <v>1</v>
      </c>
      <c r="G146" s="87">
        <v>89250</v>
      </c>
      <c r="H146" s="48">
        <f t="shared" si="25"/>
        <v>651525</v>
      </c>
    </row>
    <row r="147" spans="1:8" s="45" customFormat="1" ht="15" customHeight="1">
      <c r="A147" s="234"/>
      <c r="B147" s="22" t="s">
        <v>72</v>
      </c>
      <c r="C147" s="66">
        <f t="shared" si="26"/>
        <v>4.329004329004329E-3</v>
      </c>
      <c r="D147" s="86">
        <v>231</v>
      </c>
      <c r="E147" s="85">
        <v>1</v>
      </c>
      <c r="F147" s="22" t="s">
        <v>2</v>
      </c>
      <c r="G147" s="47">
        <v>137550</v>
      </c>
      <c r="H147" s="48">
        <f t="shared" si="25"/>
        <v>137550</v>
      </c>
    </row>
    <row r="148" spans="1:8" s="45" customFormat="1" ht="15" customHeight="1">
      <c r="A148" s="234"/>
      <c r="B148" s="22" t="s">
        <v>40</v>
      </c>
      <c r="C148" s="85">
        <f t="shared" si="26"/>
        <v>4.329004329004329E-4</v>
      </c>
      <c r="D148" s="86">
        <v>231</v>
      </c>
      <c r="E148" s="85">
        <v>0.1</v>
      </c>
      <c r="F148" s="22" t="s">
        <v>2</v>
      </c>
      <c r="G148" s="47">
        <v>42000</v>
      </c>
      <c r="H148" s="48">
        <f t="shared" si="25"/>
        <v>4200</v>
      </c>
    </row>
    <row r="149" spans="1:8" s="45" customFormat="1" ht="15" customHeight="1">
      <c r="A149" s="234"/>
      <c r="B149" s="84" t="s">
        <v>73</v>
      </c>
      <c r="C149" s="85"/>
      <c r="D149" s="88"/>
      <c r="E149" s="99">
        <v>7.8</v>
      </c>
      <c r="F149" s="22" t="s">
        <v>1</v>
      </c>
      <c r="G149" s="47">
        <v>18900</v>
      </c>
      <c r="H149" s="48">
        <f t="shared" si="25"/>
        <v>147420</v>
      </c>
    </row>
    <row r="150" spans="1:8" s="45" customFormat="1" ht="15" customHeight="1">
      <c r="A150" s="234"/>
      <c r="B150" s="22" t="s">
        <v>44</v>
      </c>
      <c r="C150" s="70"/>
      <c r="D150" s="22"/>
      <c r="E150" s="46" t="s">
        <v>34</v>
      </c>
      <c r="F150" s="22" t="s">
        <v>1</v>
      </c>
      <c r="G150" s="47">
        <v>60900</v>
      </c>
      <c r="H150" s="48">
        <f t="shared" si="25"/>
        <v>6090</v>
      </c>
    </row>
    <row r="151" spans="1:8" s="45" customFormat="1" ht="15" customHeight="1">
      <c r="A151" s="235"/>
      <c r="B151" s="89" t="s">
        <v>20</v>
      </c>
      <c r="C151" s="70"/>
      <c r="D151" s="90"/>
      <c r="E151" s="91"/>
      <c r="F151" s="86" t="s">
        <v>1</v>
      </c>
      <c r="G151" s="47"/>
      <c r="H151" s="57">
        <f>136716+486+370</f>
        <v>137572</v>
      </c>
    </row>
    <row r="152" spans="1:8" s="45" customFormat="1" ht="20.399999999999999" customHeight="1">
      <c r="A152" s="92"/>
      <c r="B152" s="60"/>
      <c r="C152" s="61"/>
      <c r="D152" s="61"/>
      <c r="E152" s="61"/>
      <c r="F152" s="61"/>
      <c r="G152" s="62"/>
      <c r="H152" s="63">
        <f>SUM(H144:H151)</f>
        <v>3926999.5</v>
      </c>
    </row>
    <row r="153" spans="1:8" s="58" customFormat="1" ht="20.399999999999999" customHeight="1">
      <c r="A153" s="237" t="s">
        <v>98</v>
      </c>
      <c r="B153" s="39" t="s">
        <v>18</v>
      </c>
      <c r="C153" s="156">
        <f>E153/D153</f>
        <v>0.12008733624454149</v>
      </c>
      <c r="D153" s="110">
        <v>229</v>
      </c>
      <c r="E153" s="101" t="s">
        <v>75</v>
      </c>
      <c r="F153" s="157" t="s">
        <v>1</v>
      </c>
      <c r="G153" s="158">
        <v>21525</v>
      </c>
      <c r="H153" s="159">
        <f>E153*G153</f>
        <v>591937.5</v>
      </c>
    </row>
    <row r="154" spans="1:8" s="58" customFormat="1" ht="20.399999999999999" customHeight="1">
      <c r="A154" s="238"/>
      <c r="B154" s="110" t="s">
        <v>4</v>
      </c>
      <c r="C154" s="160">
        <f t="shared" ref="C154:C157" si="27">E154/D154</f>
        <v>6.8995633187772923E-2</v>
      </c>
      <c r="D154" s="110">
        <v>229</v>
      </c>
      <c r="E154" s="161">
        <v>15.8</v>
      </c>
      <c r="F154" s="110" t="s">
        <v>1</v>
      </c>
      <c r="G154" s="162">
        <v>137550</v>
      </c>
      <c r="H154" s="163">
        <f>E154*G154-1892</f>
        <v>2171398</v>
      </c>
    </row>
    <row r="155" spans="1:8" s="58" customFormat="1" ht="20.399999999999999" customHeight="1">
      <c r="A155" s="238"/>
      <c r="B155" s="110" t="s">
        <v>26</v>
      </c>
      <c r="C155" s="164">
        <f t="shared" si="27"/>
        <v>3.0567685589519651E-3</v>
      </c>
      <c r="D155" s="110">
        <v>229</v>
      </c>
      <c r="E155" s="165" t="s">
        <v>27</v>
      </c>
      <c r="F155" s="110" t="s">
        <v>1</v>
      </c>
      <c r="G155" s="162">
        <v>304500</v>
      </c>
      <c r="H155" s="163">
        <f>E155*G155</f>
        <v>213150</v>
      </c>
    </row>
    <row r="156" spans="1:8" s="58" customFormat="1" ht="20.399999999999999" customHeight="1">
      <c r="A156" s="238"/>
      <c r="B156" s="110" t="s">
        <v>28</v>
      </c>
      <c r="C156" s="164">
        <f t="shared" si="27"/>
        <v>3.9301310043668124E-2</v>
      </c>
      <c r="D156" s="110">
        <v>229</v>
      </c>
      <c r="E156" s="165" t="s">
        <v>68</v>
      </c>
      <c r="F156" s="110" t="s">
        <v>1</v>
      </c>
      <c r="G156" s="162">
        <v>67200</v>
      </c>
      <c r="H156" s="163">
        <f>E156*G156</f>
        <v>604800</v>
      </c>
    </row>
    <row r="157" spans="1:8" s="58" customFormat="1" ht="20.399999999999999" customHeight="1">
      <c r="A157" s="238"/>
      <c r="B157" s="110" t="s">
        <v>54</v>
      </c>
      <c r="C157" s="164">
        <f t="shared" si="27"/>
        <v>3.2314410480349345E-2</v>
      </c>
      <c r="D157" s="110">
        <v>229</v>
      </c>
      <c r="E157" s="165" t="s">
        <v>65</v>
      </c>
      <c r="F157" s="110" t="s">
        <v>1</v>
      </c>
      <c r="G157" s="162">
        <v>22050</v>
      </c>
      <c r="H157" s="163">
        <f t="shared" ref="H157:H159" si="28">E157*G157</f>
        <v>163170</v>
      </c>
    </row>
    <row r="158" spans="1:8" s="58" customFormat="1" ht="20.399999999999999" customHeight="1">
      <c r="A158" s="238"/>
      <c r="B158" s="110" t="s">
        <v>29</v>
      </c>
      <c r="C158" s="160"/>
      <c r="D158" s="110">
        <v>229</v>
      </c>
      <c r="E158" s="165" t="s">
        <v>34</v>
      </c>
      <c r="F158" s="110" t="s">
        <v>2</v>
      </c>
      <c r="G158" s="162">
        <v>42000</v>
      </c>
      <c r="H158" s="163">
        <f t="shared" si="28"/>
        <v>4200</v>
      </c>
    </row>
    <row r="159" spans="1:8" s="58" customFormat="1" ht="20.399999999999999" customHeight="1">
      <c r="A159" s="238"/>
      <c r="B159" s="110" t="s">
        <v>8</v>
      </c>
      <c r="C159" s="111"/>
      <c r="D159" s="110"/>
      <c r="E159" s="166">
        <v>0.1</v>
      </c>
      <c r="F159" s="110" t="s">
        <v>1</v>
      </c>
      <c r="G159" s="162">
        <v>60900</v>
      </c>
      <c r="H159" s="163">
        <f t="shared" si="28"/>
        <v>6090</v>
      </c>
    </row>
    <row r="160" spans="1:8" s="58" customFormat="1" ht="20.399999999999999" customHeight="1">
      <c r="A160" s="238"/>
      <c r="B160" s="167" t="s">
        <v>20</v>
      </c>
      <c r="C160" s="167"/>
      <c r="D160" s="167"/>
      <c r="E160" s="168"/>
      <c r="F160" s="169"/>
      <c r="G160" s="167"/>
      <c r="H160" s="170">
        <f>136716+1538</f>
        <v>138254</v>
      </c>
    </row>
    <row r="161" spans="1:8" s="58" customFormat="1" ht="20.399999999999999" customHeight="1">
      <c r="A161" s="113"/>
      <c r="B161" s="114"/>
      <c r="C161" s="115"/>
      <c r="D161" s="115"/>
      <c r="E161" s="115"/>
      <c r="F161" s="115"/>
      <c r="G161" s="115"/>
      <c r="H161" s="116">
        <f>SUM(H153:H160)</f>
        <v>3892999.5</v>
      </c>
    </row>
    <row r="162" spans="1:8" s="126" customFormat="1" ht="15" customHeight="1">
      <c r="A162" s="244" t="s">
        <v>99</v>
      </c>
      <c r="B162" s="144" t="s">
        <v>18</v>
      </c>
      <c r="C162" s="145">
        <f>E162/D162</f>
        <v>0.1198237885462555</v>
      </c>
      <c r="D162" s="123">
        <v>227</v>
      </c>
      <c r="E162" s="146" t="s">
        <v>43</v>
      </c>
      <c r="F162" s="147" t="s">
        <v>1</v>
      </c>
      <c r="G162" s="108">
        <v>21525</v>
      </c>
      <c r="H162" s="148">
        <f>E162*G162</f>
        <v>585480</v>
      </c>
    </row>
    <row r="163" spans="1:8" s="126" customFormat="1" ht="15" customHeight="1">
      <c r="A163" s="244"/>
      <c r="B163" s="147" t="s">
        <v>87</v>
      </c>
      <c r="C163" s="132">
        <f t="shared" ref="C163:C165" si="29">E163/D163</f>
        <v>7.7973568281938327E-2</v>
      </c>
      <c r="D163" s="123">
        <v>227</v>
      </c>
      <c r="E163" s="146" t="s">
        <v>102</v>
      </c>
      <c r="F163" s="123" t="s">
        <v>1</v>
      </c>
      <c r="G163" s="108">
        <v>128100</v>
      </c>
      <c r="H163" s="129">
        <f>G163*E163</f>
        <v>2267370</v>
      </c>
    </row>
    <row r="164" spans="1:8" s="126" customFormat="1" ht="15" customHeight="1">
      <c r="A164" s="244"/>
      <c r="B164" s="123" t="s">
        <v>4</v>
      </c>
      <c r="C164" s="132">
        <f t="shared" si="29"/>
        <v>4.4052863436123352E-3</v>
      </c>
      <c r="D164" s="123">
        <v>227</v>
      </c>
      <c r="E164" s="127">
        <v>1</v>
      </c>
      <c r="F164" s="123" t="s">
        <v>1</v>
      </c>
      <c r="G164" s="128">
        <v>137550</v>
      </c>
      <c r="H164" s="129">
        <f>E164*G164-1892</f>
        <v>135658</v>
      </c>
    </row>
    <row r="165" spans="1:8" s="126" customFormat="1" ht="15" customHeight="1">
      <c r="A165" s="244"/>
      <c r="B165" s="123" t="s">
        <v>5</v>
      </c>
      <c r="C165" s="150">
        <f t="shared" si="29"/>
        <v>0.56828193832599116</v>
      </c>
      <c r="D165" s="123">
        <v>227</v>
      </c>
      <c r="E165" s="151" t="s">
        <v>103</v>
      </c>
      <c r="F165" s="123" t="s">
        <v>1</v>
      </c>
      <c r="G165" s="128">
        <v>3510</v>
      </c>
      <c r="H165" s="129">
        <f>E165*G165</f>
        <v>452790</v>
      </c>
    </row>
    <row r="166" spans="1:8" s="126" customFormat="1" ht="15" customHeight="1">
      <c r="A166" s="244"/>
      <c r="B166" s="123" t="s">
        <v>90</v>
      </c>
      <c r="C166" s="150"/>
      <c r="D166" s="123"/>
      <c r="E166" s="151" t="s">
        <v>92</v>
      </c>
      <c r="F166" s="123" t="s">
        <v>91</v>
      </c>
      <c r="G166" s="128">
        <v>37800</v>
      </c>
      <c r="H166" s="129">
        <f>E166*G166</f>
        <v>75600</v>
      </c>
    </row>
    <row r="167" spans="1:8" s="126" customFormat="1" ht="15" customHeight="1">
      <c r="A167" s="244"/>
      <c r="B167" s="123" t="s">
        <v>100</v>
      </c>
      <c r="C167" s="150"/>
      <c r="D167" s="123"/>
      <c r="E167" s="151" t="s">
        <v>92</v>
      </c>
      <c r="F167" s="123" t="s">
        <v>2</v>
      </c>
      <c r="G167" s="128">
        <v>44280</v>
      </c>
      <c r="H167" s="129">
        <f>E167*G167</f>
        <v>88560</v>
      </c>
    </row>
    <row r="168" spans="1:8" s="126" customFormat="1" ht="15" customHeight="1">
      <c r="A168" s="244"/>
      <c r="B168" s="123" t="s">
        <v>101</v>
      </c>
      <c r="C168" s="150"/>
      <c r="D168" s="123"/>
      <c r="E168" s="151" t="s">
        <v>104</v>
      </c>
      <c r="F168" s="123" t="s">
        <v>1</v>
      </c>
      <c r="G168" s="128">
        <v>21000</v>
      </c>
      <c r="H168" s="129">
        <f t="shared" ref="H168:H170" si="30">E168*G168</f>
        <v>107099.99999999999</v>
      </c>
    </row>
    <row r="169" spans="1:8" s="126" customFormat="1" ht="15" customHeight="1">
      <c r="A169" s="244"/>
      <c r="B169" s="123" t="s">
        <v>29</v>
      </c>
      <c r="C169" s="132"/>
      <c r="D169" s="123"/>
      <c r="E169" s="151" t="s">
        <v>34</v>
      </c>
      <c r="F169" s="123" t="s">
        <v>2</v>
      </c>
      <c r="G169" s="128">
        <v>42000</v>
      </c>
      <c r="H169" s="129">
        <f t="shared" si="30"/>
        <v>4200</v>
      </c>
    </row>
    <row r="170" spans="1:8" s="126" customFormat="1" ht="15" customHeight="1">
      <c r="A170" s="143"/>
      <c r="B170" s="123" t="s">
        <v>8</v>
      </c>
      <c r="C170" s="134"/>
      <c r="D170" s="123"/>
      <c r="E170" s="131">
        <v>0.1</v>
      </c>
      <c r="F170" s="123" t="s">
        <v>1</v>
      </c>
      <c r="G170" s="128">
        <v>60900</v>
      </c>
      <c r="H170" s="129">
        <f t="shared" si="30"/>
        <v>6090</v>
      </c>
    </row>
    <row r="171" spans="1:8" s="126" customFormat="1" ht="15" customHeight="1">
      <c r="A171" s="142"/>
      <c r="B171" s="152" t="s">
        <v>20</v>
      </c>
      <c r="C171" s="152"/>
      <c r="D171" s="152"/>
      <c r="E171" s="153"/>
      <c r="F171" s="154"/>
      <c r="G171" s="152"/>
      <c r="H171" s="141">
        <f>136716-564</f>
        <v>136152</v>
      </c>
    </row>
    <row r="172" spans="1:8" s="79" customFormat="1" ht="19.8" customHeight="1">
      <c r="A172" s="117"/>
      <c r="B172" s="94"/>
      <c r="C172" s="94"/>
      <c r="D172" s="94"/>
      <c r="E172" s="118"/>
      <c r="F172" s="119"/>
      <c r="G172" s="94"/>
      <c r="H172" s="120">
        <f>SUM(H162:H171)</f>
        <v>3859000</v>
      </c>
    </row>
    <row r="173" spans="1:8">
      <c r="A173" s="35"/>
      <c r="B173" s="35"/>
      <c r="C173" s="35"/>
      <c r="D173" s="35"/>
      <c r="E173" s="36"/>
    </row>
    <row r="174" spans="1:8" ht="18">
      <c r="A174" s="231" t="s">
        <v>22</v>
      </c>
      <c r="B174" s="231"/>
      <c r="C174" s="231" t="s">
        <v>23</v>
      </c>
      <c r="D174" s="231"/>
      <c r="E174" s="231"/>
      <c r="F174" s="1"/>
      <c r="G174" s="231" t="s">
        <v>24</v>
      </c>
      <c r="H174" s="231"/>
    </row>
    <row r="175" spans="1:8" ht="18">
      <c r="A175" s="18"/>
      <c r="B175" s="18"/>
      <c r="C175" s="18"/>
      <c r="D175" s="18"/>
      <c r="E175" s="18"/>
      <c r="F175" s="1"/>
      <c r="G175" s="18"/>
      <c r="H175" s="18"/>
    </row>
    <row r="177" spans="1:8" ht="15.6">
      <c r="A177" s="3" t="s">
        <v>0</v>
      </c>
      <c r="B177" s="3"/>
    </row>
    <row r="178" spans="1:8" s="38" customFormat="1" ht="16.8" customHeight="1">
      <c r="A178" s="231" t="s">
        <v>79</v>
      </c>
      <c r="B178" s="231"/>
      <c r="C178" s="231"/>
      <c r="D178" s="231"/>
      <c r="E178" s="231"/>
      <c r="F178" s="231"/>
      <c r="G178" s="231"/>
      <c r="H178" s="231"/>
    </row>
    <row r="179" spans="1:8" s="38" customFormat="1" ht="16.8" customHeight="1">
      <c r="A179" s="37"/>
      <c r="B179" s="232" t="s">
        <v>80</v>
      </c>
      <c r="C179" s="232"/>
      <c r="D179" s="232"/>
      <c r="E179" s="232"/>
      <c r="F179" s="232"/>
      <c r="G179" s="232"/>
      <c r="H179" s="232"/>
    </row>
    <row r="180" spans="1:8" ht="15" customHeight="1">
      <c r="A180" s="4" t="s">
        <v>11</v>
      </c>
      <c r="B180" s="5" t="s">
        <v>12</v>
      </c>
      <c r="C180" s="6" t="s">
        <v>13</v>
      </c>
      <c r="D180" s="7" t="s">
        <v>14</v>
      </c>
      <c r="E180" s="24" t="s">
        <v>15</v>
      </c>
      <c r="F180" s="8" t="s">
        <v>3</v>
      </c>
      <c r="G180" s="4" t="s">
        <v>16</v>
      </c>
      <c r="H180" s="4" t="s">
        <v>17</v>
      </c>
    </row>
    <row r="181" spans="1:8" s="45" customFormat="1" ht="15" customHeight="1">
      <c r="A181" s="240" t="s">
        <v>78</v>
      </c>
      <c r="B181" s="39" t="s">
        <v>7</v>
      </c>
      <c r="C181" s="40">
        <f>E181/D181</f>
        <v>0.1198237885462555</v>
      </c>
      <c r="D181" s="22">
        <v>227</v>
      </c>
      <c r="E181" s="98">
        <v>27.2</v>
      </c>
      <c r="F181" s="41" t="s">
        <v>1</v>
      </c>
      <c r="G181" s="42">
        <v>21525</v>
      </c>
      <c r="H181" s="43">
        <f>E181*G181</f>
        <v>585480</v>
      </c>
    </row>
    <row r="182" spans="1:8" s="45" customFormat="1" ht="15" customHeight="1">
      <c r="A182" s="241"/>
      <c r="B182" s="22" t="s">
        <v>30</v>
      </c>
      <c r="C182" s="22">
        <f>E182/D182</f>
        <v>5.7709251101321586E-2</v>
      </c>
      <c r="D182" s="22">
        <v>227</v>
      </c>
      <c r="E182" s="85">
        <v>13.1</v>
      </c>
      <c r="F182" s="22" t="s">
        <v>1</v>
      </c>
      <c r="G182" s="47">
        <v>172800</v>
      </c>
      <c r="H182" s="48">
        <f>E182*G182</f>
        <v>2263680</v>
      </c>
    </row>
    <row r="183" spans="1:8" s="45" customFormat="1" ht="15" customHeight="1">
      <c r="A183" s="242"/>
      <c r="B183" s="22" t="s">
        <v>31</v>
      </c>
      <c r="C183" s="22">
        <f t="shared" ref="C183:C185" si="31">E183/D183</f>
        <v>0.5770925110132159</v>
      </c>
      <c r="D183" s="22">
        <v>227</v>
      </c>
      <c r="E183" s="85">
        <v>131</v>
      </c>
      <c r="F183" s="22" t="s">
        <v>1</v>
      </c>
      <c r="G183" s="47">
        <v>3456</v>
      </c>
      <c r="H183" s="48">
        <f t="shared" ref="H183:H189" si="32">E183*G183</f>
        <v>452736</v>
      </c>
    </row>
    <row r="184" spans="1:8" s="45" customFormat="1" ht="15" customHeight="1">
      <c r="A184" s="242"/>
      <c r="B184" s="22" t="s">
        <v>32</v>
      </c>
      <c r="C184" s="22">
        <f t="shared" si="31"/>
        <v>2.2026431718061675E-2</v>
      </c>
      <c r="D184" s="22">
        <v>227</v>
      </c>
      <c r="E184" s="85">
        <v>5</v>
      </c>
      <c r="F184" s="22" t="s">
        <v>1</v>
      </c>
      <c r="G184" s="47">
        <v>23100</v>
      </c>
      <c r="H184" s="48">
        <f t="shared" si="32"/>
        <v>115500</v>
      </c>
    </row>
    <row r="185" spans="1:8" s="45" customFormat="1" ht="15" customHeight="1">
      <c r="A185" s="242"/>
      <c r="B185" s="22" t="s">
        <v>9</v>
      </c>
      <c r="C185" s="22">
        <f t="shared" si="31"/>
        <v>4.4052863436123352E-3</v>
      </c>
      <c r="D185" s="22">
        <v>227</v>
      </c>
      <c r="E185" s="85">
        <v>1</v>
      </c>
      <c r="F185" s="22" t="s">
        <v>1</v>
      </c>
      <c r="G185" s="47">
        <v>164850</v>
      </c>
      <c r="H185" s="48">
        <f t="shared" si="32"/>
        <v>164850</v>
      </c>
    </row>
    <row r="186" spans="1:8" s="45" customFormat="1" ht="15" customHeight="1">
      <c r="A186" s="242"/>
      <c r="B186" s="22" t="s">
        <v>58</v>
      </c>
      <c r="C186" s="22"/>
      <c r="D186" s="22">
        <v>227</v>
      </c>
      <c r="E186" s="85">
        <v>5.8</v>
      </c>
      <c r="F186" s="22" t="s">
        <v>1</v>
      </c>
      <c r="G186" s="47">
        <v>18900</v>
      </c>
      <c r="H186" s="48">
        <f t="shared" si="32"/>
        <v>109620</v>
      </c>
    </row>
    <row r="187" spans="1:8" s="45" customFormat="1" ht="15" customHeight="1">
      <c r="A187" s="242"/>
      <c r="B187" s="22" t="s">
        <v>10</v>
      </c>
      <c r="C187" s="22"/>
      <c r="D187" s="22">
        <v>227</v>
      </c>
      <c r="E187" s="85">
        <v>1.1000000000000001</v>
      </c>
      <c r="F187" s="22" t="s">
        <v>1</v>
      </c>
      <c r="G187" s="47">
        <v>21000</v>
      </c>
      <c r="H187" s="48">
        <f t="shared" si="32"/>
        <v>23100.000000000004</v>
      </c>
    </row>
    <row r="188" spans="1:8" s="45" customFormat="1" ht="15" customHeight="1">
      <c r="A188" s="242"/>
      <c r="B188" s="22" t="s">
        <v>8</v>
      </c>
      <c r="C188" s="22"/>
      <c r="D188" s="22">
        <v>227</v>
      </c>
      <c r="E188" s="85">
        <v>0.1</v>
      </c>
      <c r="F188" s="22" t="s">
        <v>1</v>
      </c>
      <c r="G188" s="47">
        <v>60900</v>
      </c>
      <c r="H188" s="48">
        <f t="shared" si="32"/>
        <v>6090</v>
      </c>
    </row>
    <row r="189" spans="1:8" s="45" customFormat="1" ht="15" customHeight="1">
      <c r="A189" s="242"/>
      <c r="B189" s="22" t="s">
        <v>29</v>
      </c>
      <c r="C189" s="22"/>
      <c r="D189" s="22">
        <v>227</v>
      </c>
      <c r="E189" s="99">
        <v>0.1</v>
      </c>
      <c r="F189" s="22" t="s">
        <v>1</v>
      </c>
      <c r="G189" s="47">
        <v>42000</v>
      </c>
      <c r="H189" s="48">
        <f t="shared" si="32"/>
        <v>4200</v>
      </c>
    </row>
    <row r="190" spans="1:8" s="45" customFormat="1" ht="15" customHeight="1">
      <c r="A190" s="242"/>
      <c r="B190" s="52" t="s">
        <v>20</v>
      </c>
      <c r="C190" s="52"/>
      <c r="D190" s="52"/>
      <c r="E190" s="53"/>
      <c r="F190" s="54"/>
      <c r="G190" s="52"/>
      <c r="H190" s="57">
        <f>133080+664</f>
        <v>133744</v>
      </c>
    </row>
    <row r="191" spans="1:8" s="45" customFormat="1" ht="22.2" customHeight="1">
      <c r="A191" s="243"/>
      <c r="B191" s="245"/>
      <c r="C191" s="246"/>
      <c r="D191" s="246"/>
      <c r="E191" s="246"/>
      <c r="F191" s="246"/>
      <c r="G191" s="247"/>
      <c r="H191" s="63">
        <f>SUM(H181:H190)</f>
        <v>3859000</v>
      </c>
    </row>
    <row r="192" spans="1:8" s="45" customFormat="1" ht="15" customHeight="1">
      <c r="A192" s="233" t="s">
        <v>81</v>
      </c>
      <c r="B192" s="41" t="s">
        <v>18</v>
      </c>
      <c r="C192" s="64">
        <f>E192/D192</f>
        <v>0.11991341991341992</v>
      </c>
      <c r="D192" s="22">
        <v>231</v>
      </c>
      <c r="E192" s="100" t="s">
        <v>60</v>
      </c>
      <c r="F192" s="41" t="s">
        <v>1</v>
      </c>
      <c r="G192" s="65">
        <v>21525</v>
      </c>
      <c r="H192" s="43">
        <f>E192*G192</f>
        <v>596242.5</v>
      </c>
    </row>
    <row r="193" spans="1:8" s="45" customFormat="1" ht="15" customHeight="1">
      <c r="A193" s="234"/>
      <c r="B193" s="22" t="s">
        <v>52</v>
      </c>
      <c r="C193" s="66">
        <f t="shared" ref="C193:C194" si="33">E193/D193</f>
        <v>7.3593073593073599E-2</v>
      </c>
      <c r="D193" s="22">
        <v>231</v>
      </c>
      <c r="E193" s="67">
        <v>17</v>
      </c>
      <c r="F193" s="22" t="s">
        <v>1</v>
      </c>
      <c r="G193" s="47">
        <v>130200</v>
      </c>
      <c r="H193" s="48">
        <f>E193*G193-1892</f>
        <v>2211508</v>
      </c>
    </row>
    <row r="194" spans="1:8" s="45" customFormat="1" ht="15" customHeight="1">
      <c r="A194" s="234"/>
      <c r="B194" s="22" t="s">
        <v>28</v>
      </c>
      <c r="C194" s="68">
        <f t="shared" si="33"/>
        <v>3.0735930735930735E-2</v>
      </c>
      <c r="D194" s="22">
        <v>231</v>
      </c>
      <c r="E194" s="46" t="s">
        <v>61</v>
      </c>
      <c r="F194" s="22" t="s">
        <v>1</v>
      </c>
      <c r="G194" s="47">
        <v>67200</v>
      </c>
      <c r="H194" s="48">
        <f>E194*G194</f>
        <v>477120</v>
      </c>
    </row>
    <row r="195" spans="1:8" s="45" customFormat="1" ht="15" customHeight="1">
      <c r="A195" s="234"/>
      <c r="B195" s="22" t="s">
        <v>47</v>
      </c>
      <c r="C195" s="68"/>
      <c r="D195" s="22">
        <v>231</v>
      </c>
      <c r="E195" s="46" t="s">
        <v>35</v>
      </c>
      <c r="F195" s="22" t="s">
        <v>1</v>
      </c>
      <c r="G195" s="47">
        <v>78750</v>
      </c>
      <c r="H195" s="48">
        <f t="shared" ref="H195:H199" si="34">E195*G195</f>
        <v>236250</v>
      </c>
    </row>
    <row r="196" spans="1:8" s="45" customFormat="1" ht="15" customHeight="1">
      <c r="A196" s="234"/>
      <c r="B196" s="22" t="s">
        <v>48</v>
      </c>
      <c r="C196" s="68"/>
      <c r="D196" s="22">
        <v>231</v>
      </c>
      <c r="E196" s="46" t="s">
        <v>85</v>
      </c>
      <c r="F196" s="22" t="s">
        <v>2</v>
      </c>
      <c r="G196" s="47">
        <v>20478</v>
      </c>
      <c r="H196" s="48">
        <f t="shared" si="34"/>
        <v>247783.8</v>
      </c>
    </row>
    <row r="197" spans="1:8" s="45" customFormat="1" ht="15" customHeight="1">
      <c r="A197" s="235"/>
      <c r="B197" s="22" t="s">
        <v>50</v>
      </c>
      <c r="C197" s="22"/>
      <c r="D197" s="22">
        <v>231</v>
      </c>
      <c r="E197" s="46" t="s">
        <v>34</v>
      </c>
      <c r="F197" s="22" t="s">
        <v>1</v>
      </c>
      <c r="G197" s="47">
        <v>63000</v>
      </c>
      <c r="H197" s="48">
        <f t="shared" si="34"/>
        <v>6300</v>
      </c>
    </row>
    <row r="198" spans="1:8" s="45" customFormat="1" ht="15" customHeight="1">
      <c r="A198" s="235"/>
      <c r="B198" s="22" t="s">
        <v>44</v>
      </c>
      <c r="C198" s="70"/>
      <c r="D198" s="22">
        <v>231</v>
      </c>
      <c r="E198" s="46" t="s">
        <v>34</v>
      </c>
      <c r="F198" s="22" t="s">
        <v>1</v>
      </c>
      <c r="G198" s="47">
        <v>60900</v>
      </c>
      <c r="H198" s="48">
        <f t="shared" si="34"/>
        <v>6090</v>
      </c>
    </row>
    <row r="199" spans="1:8" s="72" customFormat="1" ht="15" customHeight="1">
      <c r="A199" s="235"/>
      <c r="B199" s="22" t="s">
        <v>51</v>
      </c>
      <c r="C199" s="52"/>
      <c r="D199" s="22">
        <v>231</v>
      </c>
      <c r="E199" s="46" t="s">
        <v>41</v>
      </c>
      <c r="F199" s="22" t="s">
        <v>1</v>
      </c>
      <c r="G199" s="47">
        <v>42000</v>
      </c>
      <c r="H199" s="48">
        <f t="shared" si="34"/>
        <v>8400</v>
      </c>
    </row>
    <row r="200" spans="1:8" s="45" customFormat="1" ht="15" customHeight="1">
      <c r="A200" s="69"/>
      <c r="B200" s="52" t="s">
        <v>20</v>
      </c>
      <c r="C200" s="52"/>
      <c r="D200" s="22">
        <v>231</v>
      </c>
      <c r="E200" s="53"/>
      <c r="F200" s="54"/>
      <c r="G200" s="52"/>
      <c r="H200" s="57">
        <f>136716+558.7+31</f>
        <v>137305.70000000001</v>
      </c>
    </row>
    <row r="201" spans="1:8" s="72" customFormat="1" ht="18.600000000000001" customHeight="1">
      <c r="A201" s="73"/>
      <c r="B201" s="74"/>
      <c r="C201" s="75"/>
      <c r="D201" s="75"/>
      <c r="E201" s="76"/>
      <c r="F201" s="77"/>
      <c r="G201" s="74"/>
      <c r="H201" s="78">
        <f>SUM(H192:H200)</f>
        <v>3927000</v>
      </c>
    </row>
    <row r="202" spans="1:8" s="45" customFormat="1" ht="15" customHeight="1">
      <c r="A202" s="49"/>
      <c r="B202" s="41" t="s">
        <v>18</v>
      </c>
      <c r="C202" s="64">
        <f>E202/D202</f>
        <v>0.12008733624454149</v>
      </c>
      <c r="D202" s="81">
        <v>229</v>
      </c>
      <c r="E202" s="101" t="s">
        <v>75</v>
      </c>
      <c r="F202" s="82" t="s">
        <v>1</v>
      </c>
      <c r="G202" s="65">
        <v>21525</v>
      </c>
      <c r="H202" s="83">
        <f>E202*G202</f>
        <v>591937.5</v>
      </c>
    </row>
    <row r="203" spans="1:8" s="45" customFormat="1" ht="15" customHeight="1">
      <c r="A203" s="234" t="s">
        <v>82</v>
      </c>
      <c r="B203" s="84" t="s">
        <v>67</v>
      </c>
      <c r="C203" s="66">
        <f>E203/D203</f>
        <v>5.8078602620087343E-2</v>
      </c>
      <c r="D203" s="86">
        <v>229</v>
      </c>
      <c r="E203" s="102" t="s">
        <v>86</v>
      </c>
      <c r="F203" s="22" t="s">
        <v>1</v>
      </c>
      <c r="G203" s="87">
        <v>162000</v>
      </c>
      <c r="H203" s="48">
        <f t="shared" ref="H203:H208" si="35">E203*G203</f>
        <v>2154600</v>
      </c>
    </row>
    <row r="204" spans="1:8" s="45" customFormat="1" ht="15" customHeight="1">
      <c r="A204" s="234"/>
      <c r="B204" s="84" t="s">
        <v>38</v>
      </c>
      <c r="C204" s="66">
        <f t="shared" ref="C204:C206" si="36">E204/D204</f>
        <v>3.4934497816593885E-2</v>
      </c>
      <c r="D204" s="86">
        <v>229</v>
      </c>
      <c r="E204" s="102" t="s">
        <v>19</v>
      </c>
      <c r="F204" s="22" t="s">
        <v>1</v>
      </c>
      <c r="G204" s="87">
        <v>89250</v>
      </c>
      <c r="H204" s="48">
        <f t="shared" si="35"/>
        <v>714000</v>
      </c>
    </row>
    <row r="205" spans="1:8" s="45" customFormat="1" ht="15" customHeight="1">
      <c r="A205" s="234"/>
      <c r="B205" s="22" t="s">
        <v>72</v>
      </c>
      <c r="C205" s="66">
        <f t="shared" si="36"/>
        <v>4.3668122270742356E-3</v>
      </c>
      <c r="D205" s="86">
        <v>229</v>
      </c>
      <c r="E205" s="85">
        <v>1</v>
      </c>
      <c r="F205" s="22" t="s">
        <v>2</v>
      </c>
      <c r="G205" s="47">
        <v>137550</v>
      </c>
      <c r="H205" s="48">
        <f t="shared" si="35"/>
        <v>137550</v>
      </c>
    </row>
    <row r="206" spans="1:8" s="45" customFormat="1" ht="15" customHeight="1">
      <c r="A206" s="234"/>
      <c r="B206" s="22" t="s">
        <v>40</v>
      </c>
      <c r="C206" s="85">
        <f t="shared" si="36"/>
        <v>4.3668122270742359E-4</v>
      </c>
      <c r="D206" s="86">
        <v>229</v>
      </c>
      <c r="E206" s="85">
        <v>0.1</v>
      </c>
      <c r="F206" s="22" t="s">
        <v>2</v>
      </c>
      <c r="G206" s="47">
        <v>42000</v>
      </c>
      <c r="H206" s="48">
        <f t="shared" si="35"/>
        <v>4200</v>
      </c>
    </row>
    <row r="207" spans="1:8" s="45" customFormat="1" ht="15" customHeight="1">
      <c r="A207" s="234"/>
      <c r="B207" s="84" t="s">
        <v>73</v>
      </c>
      <c r="C207" s="85"/>
      <c r="D207" s="88"/>
      <c r="E207" s="99">
        <v>7.8</v>
      </c>
      <c r="F207" s="22" t="s">
        <v>1</v>
      </c>
      <c r="G207" s="47">
        <v>18900</v>
      </c>
      <c r="H207" s="48">
        <f t="shared" si="35"/>
        <v>147420</v>
      </c>
    </row>
    <row r="208" spans="1:8" s="45" customFormat="1" ht="15" customHeight="1">
      <c r="A208" s="234"/>
      <c r="B208" s="22" t="s">
        <v>44</v>
      </c>
      <c r="C208" s="70"/>
      <c r="D208" s="22"/>
      <c r="E208" s="46" t="s">
        <v>34</v>
      </c>
      <c r="F208" s="22" t="s">
        <v>1</v>
      </c>
      <c r="G208" s="47">
        <v>60900</v>
      </c>
      <c r="H208" s="48">
        <f t="shared" si="35"/>
        <v>6090</v>
      </c>
    </row>
    <row r="209" spans="1:8" s="45" customFormat="1" ht="15" customHeight="1">
      <c r="A209" s="235"/>
      <c r="B209" s="89" t="s">
        <v>20</v>
      </c>
      <c r="C209" s="70"/>
      <c r="D209" s="90"/>
      <c r="E209" s="91"/>
      <c r="F209" s="86" t="s">
        <v>1</v>
      </c>
      <c r="G209" s="47"/>
      <c r="H209" s="57">
        <f>136716+486</f>
        <v>137202</v>
      </c>
    </row>
    <row r="210" spans="1:8" s="45" customFormat="1" ht="20.399999999999999" customHeight="1">
      <c r="A210" s="92"/>
      <c r="B210" s="60"/>
      <c r="C210" s="61"/>
      <c r="D210" s="61"/>
      <c r="E210" s="61"/>
      <c r="F210" s="61"/>
      <c r="G210" s="62"/>
      <c r="H210" s="63">
        <f>SUM(H202:H209)</f>
        <v>3892999.5</v>
      </c>
    </row>
    <row r="211" spans="1:8" s="126" customFormat="1" ht="20.399999999999999" customHeight="1">
      <c r="A211" s="248" t="s">
        <v>83</v>
      </c>
      <c r="B211" s="121" t="s">
        <v>18</v>
      </c>
      <c r="C211" s="122">
        <f>E211/D211</f>
        <v>0.12008733624454149</v>
      </c>
      <c r="D211" s="123">
        <v>229</v>
      </c>
      <c r="E211" s="124" t="s">
        <v>75</v>
      </c>
      <c r="F211" s="121" t="s">
        <v>1</v>
      </c>
      <c r="G211" s="65">
        <v>21525</v>
      </c>
      <c r="H211" s="125">
        <f>E211*G211</f>
        <v>591937.5</v>
      </c>
    </row>
    <row r="212" spans="1:8" s="126" customFormat="1" ht="20.399999999999999" customHeight="1">
      <c r="A212" s="249"/>
      <c r="B212" s="123" t="s">
        <v>74</v>
      </c>
      <c r="C212" s="122">
        <f>E212/D212</f>
        <v>3.88646288209607E-2</v>
      </c>
      <c r="D212" s="123">
        <v>229</v>
      </c>
      <c r="E212" s="127">
        <v>8.9</v>
      </c>
      <c r="F212" s="123" t="s">
        <v>1</v>
      </c>
      <c r="G212" s="128">
        <v>215250</v>
      </c>
      <c r="H212" s="129">
        <f>E212*G212</f>
        <v>1915725</v>
      </c>
    </row>
    <row r="213" spans="1:8" s="126" customFormat="1" ht="20.399999999999999" customHeight="1">
      <c r="A213" s="249"/>
      <c r="B213" s="123" t="s">
        <v>52</v>
      </c>
      <c r="C213" s="122">
        <f t="shared" ref="C213:C216" si="37">E213/D213</f>
        <v>1.7903930131004366E-2</v>
      </c>
      <c r="D213" s="123">
        <v>229</v>
      </c>
      <c r="E213" s="127">
        <v>4.0999999999999996</v>
      </c>
      <c r="F213" s="123" t="s">
        <v>1</v>
      </c>
      <c r="G213" s="128">
        <v>123900</v>
      </c>
      <c r="H213" s="129">
        <f t="shared" ref="H213:H215" si="38">E213*G213</f>
        <v>507989.99999999994</v>
      </c>
    </row>
    <row r="214" spans="1:8" s="126" customFormat="1" ht="20.399999999999999" customHeight="1">
      <c r="A214" s="249"/>
      <c r="B214" s="123" t="s">
        <v>4</v>
      </c>
      <c r="C214" s="122">
        <f t="shared" si="37"/>
        <v>4.3668122270742356E-3</v>
      </c>
      <c r="D214" s="123">
        <v>229</v>
      </c>
      <c r="E214" s="130">
        <v>1</v>
      </c>
      <c r="F214" s="123" t="s">
        <v>1</v>
      </c>
      <c r="G214" s="128">
        <v>137550</v>
      </c>
      <c r="H214" s="129">
        <f t="shared" si="38"/>
        <v>137550</v>
      </c>
    </row>
    <row r="215" spans="1:8" s="126" customFormat="1" ht="20.399999999999999" customHeight="1">
      <c r="A215" s="249"/>
      <c r="B215" s="123" t="s">
        <v>6</v>
      </c>
      <c r="C215" s="122">
        <f t="shared" si="37"/>
        <v>4.3668122270742356E-3</v>
      </c>
      <c r="D215" s="123">
        <v>229</v>
      </c>
      <c r="E215" s="131">
        <v>1</v>
      </c>
      <c r="F215" s="123" t="s">
        <v>1</v>
      </c>
      <c r="G215" s="128">
        <v>44280</v>
      </c>
      <c r="H215" s="129">
        <f t="shared" si="38"/>
        <v>44280</v>
      </c>
    </row>
    <row r="216" spans="1:8" s="126" customFormat="1" ht="20.399999999999999" customHeight="1">
      <c r="A216" s="249"/>
      <c r="B216" s="123" t="s">
        <v>25</v>
      </c>
      <c r="C216" s="122">
        <f t="shared" si="37"/>
        <v>4.0611353711790393E-2</v>
      </c>
      <c r="D216" s="123">
        <v>229</v>
      </c>
      <c r="E216" s="131">
        <v>9.3000000000000007</v>
      </c>
      <c r="F216" s="123" t="s">
        <v>1</v>
      </c>
      <c r="G216" s="128">
        <v>42000</v>
      </c>
      <c r="H216" s="129">
        <f>E216*G216</f>
        <v>390600.00000000006</v>
      </c>
    </row>
    <row r="217" spans="1:8" s="126" customFormat="1" ht="20.399999999999999" customHeight="1">
      <c r="A217" s="249"/>
      <c r="B217" s="123" t="s">
        <v>59</v>
      </c>
      <c r="C217" s="132"/>
      <c r="D217" s="123"/>
      <c r="E217" s="131">
        <v>7.5</v>
      </c>
      <c r="F217" s="123" t="s">
        <v>1</v>
      </c>
      <c r="G217" s="133">
        <v>21000</v>
      </c>
      <c r="H217" s="129">
        <f t="shared" ref="H217:H219" si="39">E217*G217</f>
        <v>157500</v>
      </c>
    </row>
    <row r="218" spans="1:8" s="126" customFormat="1" ht="20.399999999999999" customHeight="1">
      <c r="A218" s="249"/>
      <c r="B218" s="123" t="s">
        <v>8</v>
      </c>
      <c r="C218" s="134"/>
      <c r="D218" s="123"/>
      <c r="E218" s="131">
        <v>0.1</v>
      </c>
      <c r="F218" s="123" t="s">
        <v>1</v>
      </c>
      <c r="G218" s="128">
        <v>60900</v>
      </c>
      <c r="H218" s="129">
        <f t="shared" si="39"/>
        <v>6090</v>
      </c>
    </row>
    <row r="219" spans="1:8" s="126" customFormat="1" ht="20.399999999999999" customHeight="1">
      <c r="A219" s="249"/>
      <c r="B219" s="123" t="s">
        <v>36</v>
      </c>
      <c r="C219" s="134"/>
      <c r="D219" s="123"/>
      <c r="E219" s="131">
        <v>0.1</v>
      </c>
      <c r="F219" s="123" t="s">
        <v>1</v>
      </c>
      <c r="G219" s="133">
        <v>42000</v>
      </c>
      <c r="H219" s="129">
        <f t="shared" si="39"/>
        <v>4200</v>
      </c>
    </row>
    <row r="220" spans="1:8" s="126" customFormat="1" ht="20.399999999999999" customHeight="1">
      <c r="A220" s="135"/>
      <c r="B220" s="136" t="s">
        <v>20</v>
      </c>
      <c r="C220" s="137"/>
      <c r="D220" s="138"/>
      <c r="E220" s="139"/>
      <c r="F220" s="140"/>
      <c r="G220" s="133"/>
      <c r="H220" s="141">
        <f>136716+411</f>
        <v>137127</v>
      </c>
    </row>
    <row r="221" spans="1:8" s="58" customFormat="1" ht="20.399999999999999" customHeight="1">
      <c r="A221" s="113"/>
      <c r="B221" s="114"/>
      <c r="C221" s="115"/>
      <c r="D221" s="115"/>
      <c r="E221" s="115"/>
      <c r="F221" s="115"/>
      <c r="G221" s="115"/>
      <c r="H221" s="116">
        <f>SUM(H211:H220)</f>
        <v>3892999.5</v>
      </c>
    </row>
    <row r="222" spans="1:8" s="126" customFormat="1" ht="15" customHeight="1">
      <c r="A222" s="244" t="s">
        <v>84</v>
      </c>
      <c r="B222" s="144" t="s">
        <v>18</v>
      </c>
      <c r="C222" s="145">
        <f>E222/D222</f>
        <v>0.11948051948051949</v>
      </c>
      <c r="D222" s="123">
        <v>231</v>
      </c>
      <c r="E222" s="146" t="s">
        <v>66</v>
      </c>
      <c r="F222" s="147" t="s">
        <v>1</v>
      </c>
      <c r="G222" s="108">
        <v>21525</v>
      </c>
      <c r="H222" s="148">
        <f>E222*G222</f>
        <v>594090</v>
      </c>
    </row>
    <row r="223" spans="1:8" s="126" customFormat="1" ht="15" customHeight="1">
      <c r="A223" s="244"/>
      <c r="B223" s="147" t="s">
        <v>87</v>
      </c>
      <c r="C223" s="132">
        <f t="shared" ref="C223:C225" si="40">E223/D223</f>
        <v>8.0086580086580081E-2</v>
      </c>
      <c r="D223" s="123">
        <v>231</v>
      </c>
      <c r="E223" s="146" t="s">
        <v>89</v>
      </c>
      <c r="F223" s="123" t="s">
        <v>1</v>
      </c>
      <c r="G223" s="108">
        <v>128100</v>
      </c>
      <c r="H223" s="129">
        <f>G223*E223</f>
        <v>2369850</v>
      </c>
    </row>
    <row r="224" spans="1:8" s="126" customFormat="1" ht="15" customHeight="1">
      <c r="A224" s="244"/>
      <c r="B224" s="123" t="s">
        <v>4</v>
      </c>
      <c r="C224" s="132">
        <f t="shared" si="40"/>
        <v>4.329004329004329E-3</v>
      </c>
      <c r="D224" s="123">
        <v>231</v>
      </c>
      <c r="E224" s="127">
        <v>1</v>
      </c>
      <c r="F224" s="123" t="s">
        <v>1</v>
      </c>
      <c r="G224" s="128">
        <v>137550</v>
      </c>
      <c r="H224" s="129">
        <f>E224*G224-1892</f>
        <v>135658</v>
      </c>
    </row>
    <row r="225" spans="1:8" s="126" customFormat="1" ht="15" customHeight="1">
      <c r="A225" s="244"/>
      <c r="B225" s="123" t="s">
        <v>5</v>
      </c>
      <c r="C225" s="150">
        <f t="shared" si="40"/>
        <v>0.5670995670995671</v>
      </c>
      <c r="D225" s="123">
        <v>231</v>
      </c>
      <c r="E225" s="151" t="s">
        <v>88</v>
      </c>
      <c r="F225" s="123" t="s">
        <v>1</v>
      </c>
      <c r="G225" s="128">
        <v>3510</v>
      </c>
      <c r="H225" s="129">
        <f>E225*G225</f>
        <v>459810</v>
      </c>
    </row>
    <row r="226" spans="1:8" s="126" customFormat="1" ht="15" customHeight="1">
      <c r="A226" s="244"/>
      <c r="B226" s="123" t="s">
        <v>90</v>
      </c>
      <c r="C226" s="150"/>
      <c r="D226" s="123"/>
      <c r="E226" s="151" t="s">
        <v>92</v>
      </c>
      <c r="F226" s="123" t="s">
        <v>91</v>
      </c>
      <c r="G226" s="128">
        <v>37800</v>
      </c>
      <c r="H226" s="129">
        <f>E226*G226</f>
        <v>75600</v>
      </c>
    </row>
    <row r="227" spans="1:8" s="126" customFormat="1" ht="15" customHeight="1">
      <c r="A227" s="244"/>
      <c r="B227" s="123" t="s">
        <v>54</v>
      </c>
      <c r="C227" s="150"/>
      <c r="D227" s="123"/>
      <c r="E227" s="151" t="s">
        <v>93</v>
      </c>
      <c r="F227" s="123" t="s">
        <v>1</v>
      </c>
      <c r="G227" s="128">
        <v>22050</v>
      </c>
      <c r="H227" s="129">
        <f t="shared" ref="H227:H229" si="41">E227*G227</f>
        <v>143325</v>
      </c>
    </row>
    <row r="228" spans="1:8" s="126" customFormat="1" ht="15" customHeight="1">
      <c r="A228" s="244"/>
      <c r="B228" s="123" t="s">
        <v>29</v>
      </c>
      <c r="C228" s="132"/>
      <c r="D228" s="123"/>
      <c r="E228" s="151" t="s">
        <v>34</v>
      </c>
      <c r="F228" s="123" t="s">
        <v>2</v>
      </c>
      <c r="G228" s="128">
        <v>42000</v>
      </c>
      <c r="H228" s="129">
        <f t="shared" si="41"/>
        <v>4200</v>
      </c>
    </row>
    <row r="229" spans="1:8" s="126" customFormat="1" ht="15" customHeight="1">
      <c r="A229" s="143"/>
      <c r="B229" s="123" t="s">
        <v>8</v>
      </c>
      <c r="C229" s="134"/>
      <c r="D229" s="123"/>
      <c r="E229" s="131">
        <v>0.1</v>
      </c>
      <c r="F229" s="123" t="s">
        <v>1</v>
      </c>
      <c r="G229" s="128">
        <v>60900</v>
      </c>
      <c r="H229" s="129">
        <f t="shared" si="41"/>
        <v>6090</v>
      </c>
    </row>
    <row r="230" spans="1:8" s="126" customFormat="1" ht="15" customHeight="1">
      <c r="A230" s="142"/>
      <c r="B230" s="152" t="s">
        <v>20</v>
      </c>
      <c r="C230" s="152"/>
      <c r="D230" s="152"/>
      <c r="E230" s="153"/>
      <c r="F230" s="154"/>
      <c r="G230" s="152"/>
      <c r="H230" s="141">
        <f>136716+1661</f>
        <v>138377</v>
      </c>
    </row>
    <row r="231" spans="1:8" s="79" customFormat="1" ht="19.8" customHeight="1">
      <c r="A231" s="117"/>
      <c r="B231" s="94"/>
      <c r="C231" s="94"/>
      <c r="D231" s="94"/>
      <c r="E231" s="118"/>
      <c r="F231" s="119"/>
      <c r="G231" s="94"/>
      <c r="H231" s="120">
        <f>SUM(H222:H230)</f>
        <v>3927000</v>
      </c>
    </row>
    <row r="232" spans="1:8">
      <c r="A232" s="35"/>
      <c r="B232" s="35"/>
      <c r="C232" s="35"/>
      <c r="D232" s="35"/>
      <c r="E232" s="36"/>
    </row>
    <row r="233" spans="1:8" ht="18">
      <c r="A233" s="231" t="s">
        <v>22</v>
      </c>
      <c r="B233" s="231"/>
      <c r="C233" s="231" t="s">
        <v>23</v>
      </c>
      <c r="D233" s="231"/>
      <c r="E233" s="231"/>
      <c r="F233" s="1"/>
      <c r="G233" s="231" t="s">
        <v>24</v>
      </c>
      <c r="H233" s="231"/>
    </row>
    <row r="235" spans="1:8" ht="15.6">
      <c r="A235" s="3" t="s">
        <v>0</v>
      </c>
      <c r="B235" s="3"/>
    </row>
    <row r="236" spans="1:8" s="38" customFormat="1" ht="16.8" customHeight="1">
      <c r="A236" s="231" t="s">
        <v>70</v>
      </c>
      <c r="B236" s="231"/>
      <c r="C236" s="231"/>
      <c r="D236" s="231"/>
      <c r="E236" s="231"/>
      <c r="F236" s="231"/>
      <c r="G236" s="231"/>
      <c r="H236" s="231"/>
    </row>
    <row r="237" spans="1:8" s="38" customFormat="1" ht="16.8" customHeight="1">
      <c r="A237" s="37"/>
      <c r="B237" s="232" t="s">
        <v>77</v>
      </c>
      <c r="C237" s="232"/>
      <c r="D237" s="232"/>
      <c r="E237" s="232"/>
      <c r="F237" s="232"/>
      <c r="G237" s="232"/>
      <c r="H237" s="232"/>
    </row>
    <row r="238" spans="1:8" s="45" customFormat="1" ht="15" customHeight="1">
      <c r="A238" s="233" t="s">
        <v>76</v>
      </c>
      <c r="B238" s="41" t="s">
        <v>18</v>
      </c>
      <c r="C238" s="64">
        <f>E238/D238</f>
        <v>0.11877729257641921</v>
      </c>
      <c r="D238" s="22">
        <v>229</v>
      </c>
      <c r="E238" s="100" t="s">
        <v>43</v>
      </c>
      <c r="F238" s="41" t="s">
        <v>1</v>
      </c>
      <c r="G238" s="65">
        <v>21525</v>
      </c>
      <c r="H238" s="43">
        <f>E238*G238</f>
        <v>585480</v>
      </c>
    </row>
    <row r="239" spans="1:8" s="45" customFormat="1" ht="15" customHeight="1">
      <c r="A239" s="234"/>
      <c r="B239" s="22" t="s">
        <v>52</v>
      </c>
      <c r="C239" s="66">
        <f t="shared" ref="C239:C240" si="42">E239/D239</f>
        <v>7.0742358078602616E-2</v>
      </c>
      <c r="D239" s="22">
        <v>229</v>
      </c>
      <c r="E239" s="67">
        <v>16.2</v>
      </c>
      <c r="F239" s="22" t="s">
        <v>1</v>
      </c>
      <c r="G239" s="47">
        <v>130200</v>
      </c>
      <c r="H239" s="48">
        <f>E239*G239-1892</f>
        <v>2107348</v>
      </c>
    </row>
    <row r="240" spans="1:8" s="45" customFormat="1" ht="15" customHeight="1">
      <c r="A240" s="234"/>
      <c r="B240" s="22" t="s">
        <v>28</v>
      </c>
      <c r="C240" s="68">
        <f t="shared" si="42"/>
        <v>3.1004366812227072E-2</v>
      </c>
      <c r="D240" s="22">
        <v>229</v>
      </c>
      <c r="E240" s="46" t="s">
        <v>61</v>
      </c>
      <c r="F240" s="22" t="s">
        <v>1</v>
      </c>
      <c r="G240" s="47">
        <v>67200</v>
      </c>
      <c r="H240" s="48">
        <f>E240*G240</f>
        <v>477120</v>
      </c>
    </row>
    <row r="241" spans="1:8" s="45" customFormat="1" ht="15" customHeight="1">
      <c r="A241" s="234"/>
      <c r="B241" s="22" t="s">
        <v>47</v>
      </c>
      <c r="C241" s="68"/>
      <c r="D241" s="22"/>
      <c r="E241" s="46" t="s">
        <v>35</v>
      </c>
      <c r="F241" s="22" t="s">
        <v>1</v>
      </c>
      <c r="G241" s="47">
        <v>78750</v>
      </c>
      <c r="H241" s="48">
        <f t="shared" ref="H241:H245" si="43">E241*G241</f>
        <v>236250</v>
      </c>
    </row>
    <row r="242" spans="1:8" s="45" customFormat="1" ht="15" customHeight="1">
      <c r="A242" s="234"/>
      <c r="B242" s="22" t="s">
        <v>48</v>
      </c>
      <c r="C242" s="68"/>
      <c r="D242" s="22"/>
      <c r="E242" s="46" t="s">
        <v>49</v>
      </c>
      <c r="F242" s="22" t="s">
        <v>2</v>
      </c>
      <c r="G242" s="47">
        <v>20478</v>
      </c>
      <c r="H242" s="48">
        <f t="shared" si="43"/>
        <v>266214</v>
      </c>
    </row>
    <row r="243" spans="1:8" s="45" customFormat="1" ht="15" customHeight="1">
      <c r="A243" s="235"/>
      <c r="B243" s="22" t="s">
        <v>50</v>
      </c>
      <c r="C243" s="22"/>
      <c r="D243" s="22"/>
      <c r="E243" s="46" t="s">
        <v>34</v>
      </c>
      <c r="F243" s="22" t="s">
        <v>1</v>
      </c>
      <c r="G243" s="47">
        <v>63000</v>
      </c>
      <c r="H243" s="48">
        <f t="shared" si="43"/>
        <v>6300</v>
      </c>
    </row>
    <row r="244" spans="1:8" s="45" customFormat="1" ht="15" customHeight="1">
      <c r="A244" s="235"/>
      <c r="B244" s="22" t="s">
        <v>44</v>
      </c>
      <c r="C244" s="70"/>
      <c r="D244" s="22"/>
      <c r="E244" s="46" t="s">
        <v>34</v>
      </c>
      <c r="F244" s="22" t="s">
        <v>1</v>
      </c>
      <c r="G244" s="47">
        <v>60900</v>
      </c>
      <c r="H244" s="48">
        <f t="shared" si="43"/>
        <v>6090</v>
      </c>
    </row>
    <row r="245" spans="1:8" s="72" customFormat="1" ht="15" customHeight="1">
      <c r="A245" s="235"/>
      <c r="B245" s="22" t="s">
        <v>51</v>
      </c>
      <c r="C245" s="52"/>
      <c r="D245" s="52"/>
      <c r="E245" s="46" t="s">
        <v>41</v>
      </c>
      <c r="F245" s="22" t="s">
        <v>1</v>
      </c>
      <c r="G245" s="47">
        <v>42000</v>
      </c>
      <c r="H245" s="48">
        <f t="shared" si="43"/>
        <v>8400</v>
      </c>
    </row>
    <row r="246" spans="1:8" s="45" customFormat="1" ht="15" customHeight="1">
      <c r="A246" s="69"/>
      <c r="B246" s="52" t="s">
        <v>20</v>
      </c>
      <c r="C246" s="52"/>
      <c r="D246" s="52"/>
      <c r="E246" s="53"/>
      <c r="F246" s="54"/>
      <c r="G246" s="52"/>
      <c r="H246" s="57">
        <f>133080-1282</f>
        <v>131798</v>
      </c>
    </row>
    <row r="247" spans="1:8" s="72" customFormat="1" ht="18.600000000000001" customHeight="1">
      <c r="A247" s="73"/>
      <c r="B247" s="74"/>
      <c r="C247" s="75"/>
      <c r="D247" s="75"/>
      <c r="E247" s="76"/>
      <c r="F247" s="77"/>
      <c r="G247" s="74"/>
      <c r="H247" s="78">
        <f>SUM(H238:H246)</f>
        <v>3825000</v>
      </c>
    </row>
    <row r="249" spans="1:8" ht="18">
      <c r="A249" s="231" t="s">
        <v>22</v>
      </c>
      <c r="B249" s="231"/>
      <c r="C249" s="231" t="s">
        <v>23</v>
      </c>
      <c r="D249" s="231"/>
      <c r="E249" s="231"/>
      <c r="F249" s="1"/>
      <c r="G249" s="231" t="s">
        <v>24</v>
      </c>
      <c r="H249" s="231"/>
    </row>
  </sheetData>
  <mergeCells count="50">
    <mergeCell ref="G233:H233"/>
    <mergeCell ref="A236:H236"/>
    <mergeCell ref="B237:H237"/>
    <mergeCell ref="A238:A245"/>
    <mergeCell ref="A249:B249"/>
    <mergeCell ref="C249:E249"/>
    <mergeCell ref="G249:H249"/>
    <mergeCell ref="A192:A199"/>
    <mergeCell ref="A203:A209"/>
    <mergeCell ref="A211:A219"/>
    <mergeCell ref="A222:A228"/>
    <mergeCell ref="A233:B233"/>
    <mergeCell ref="C233:E233"/>
    <mergeCell ref="A174:B174"/>
    <mergeCell ref="C174:E174"/>
    <mergeCell ref="G174:H174"/>
    <mergeCell ref="A178:H178"/>
    <mergeCell ref="B179:H179"/>
    <mergeCell ref="A181:A191"/>
    <mergeCell ref="B191:G191"/>
    <mergeCell ref="A123:A132"/>
    <mergeCell ref="B132:G132"/>
    <mergeCell ref="A133:A142"/>
    <mergeCell ref="A145:A151"/>
    <mergeCell ref="A153:A160"/>
    <mergeCell ref="A162:A169"/>
    <mergeCell ref="A103:A107"/>
    <mergeCell ref="A115:B115"/>
    <mergeCell ref="C115:E115"/>
    <mergeCell ref="G115:H115"/>
    <mergeCell ref="A120:H120"/>
    <mergeCell ref="B121:H121"/>
    <mergeCell ref="A76:A83"/>
    <mergeCell ref="A86:A92"/>
    <mergeCell ref="A94:A101"/>
    <mergeCell ref="A35:A42"/>
    <mergeCell ref="A46:A49"/>
    <mergeCell ref="A57:B57"/>
    <mergeCell ref="C57:E57"/>
    <mergeCell ref="G57:H57"/>
    <mergeCell ref="A63:H63"/>
    <mergeCell ref="A2:H2"/>
    <mergeCell ref="B3:H3"/>
    <mergeCell ref="A5:A13"/>
    <mergeCell ref="B13:G13"/>
    <mergeCell ref="A14:A22"/>
    <mergeCell ref="A25:A32"/>
    <mergeCell ref="B64:H64"/>
    <mergeCell ref="A66:A75"/>
    <mergeCell ref="B75:G75"/>
  </mergeCells>
  <pageMargins left="0.39370078740157483" right="0.31496062992125984" top="0.4330708661417322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 thuc pham T 04 2025 </vt:lpstr>
      <vt:lpstr>Dat thuc pham T 02 2025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cp:lastPrinted>2025-03-12T00:12:40Z</cp:lastPrinted>
  <dcterms:created xsi:type="dcterms:W3CDTF">2024-09-06T11:46:48Z</dcterms:created>
  <dcterms:modified xsi:type="dcterms:W3CDTF">2025-04-16T00:42:21Z</dcterms:modified>
</cp:coreProperties>
</file>