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AK22\Desktop\thực phẩm thầy quân\"/>
    </mc:Choice>
  </mc:AlternateContent>
  <xr:revisionPtr revIDLastSave="0" documentId="13_ncr:1_{D4AFB6F9-64BA-447D-8C4D-30B031A0F09D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Dat thuc pham T 04 2025 " sheetId="16" r:id="rId1"/>
    <sheet name="Dat thuc pham T 03 2025 (3)" sheetId="18" r:id="rId2"/>
    <sheet name="Dat thuc pham T 02 2025 (3)" sheetId="17" r:id="rId3"/>
    <sheet name="Dat thuc pham T 01 2025 (2)" sheetId="15" r:id="rId4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6" l="1"/>
  <c r="C50" i="16"/>
  <c r="H44" i="16"/>
  <c r="H22" i="16"/>
  <c r="I22" i="16"/>
  <c r="H50" i="16"/>
  <c r="H42" i="16"/>
  <c r="I44" i="16"/>
  <c r="H33" i="16"/>
  <c r="I33" i="16"/>
  <c r="I27" i="16"/>
  <c r="H32" i="16"/>
  <c r="H31" i="16"/>
  <c r="H30" i="16"/>
  <c r="H29" i="16"/>
  <c r="H28" i="16"/>
  <c r="H27" i="16"/>
  <c r="C27" i="16"/>
  <c r="H26" i="16"/>
  <c r="C26" i="16"/>
  <c r="H25" i="16"/>
  <c r="C25" i="16"/>
  <c r="H24" i="16"/>
  <c r="C24" i="16"/>
  <c r="H43" i="16"/>
  <c r="H41" i="16"/>
  <c r="H40" i="16"/>
  <c r="H39" i="16"/>
  <c r="C39" i="16"/>
  <c r="H38" i="16"/>
  <c r="C38" i="16"/>
  <c r="H37" i="16"/>
  <c r="C37" i="16"/>
  <c r="H36" i="16"/>
  <c r="C36" i="16"/>
  <c r="H35" i="16"/>
  <c r="C35" i="16"/>
  <c r="H20" i="16"/>
  <c r="H21" i="16"/>
  <c r="H19" i="16"/>
  <c r="H18" i="16"/>
  <c r="H17" i="16"/>
  <c r="H16" i="16"/>
  <c r="C16" i="16"/>
  <c r="H15" i="16"/>
  <c r="C15" i="16"/>
  <c r="H14" i="16"/>
  <c r="C14" i="16"/>
  <c r="H13" i="16"/>
  <c r="C13" i="16"/>
  <c r="Q18" i="16"/>
  <c r="Q17" i="16"/>
  <c r="Q16" i="16"/>
  <c r="Q15" i="16"/>
  <c r="Q14" i="16"/>
  <c r="Q13" i="16"/>
  <c r="Q12" i="16"/>
  <c r="L12" i="16"/>
  <c r="Q11" i="16"/>
  <c r="L11" i="16"/>
  <c r="Q10" i="16"/>
  <c r="L10" i="16"/>
  <c r="Q9" i="16"/>
  <c r="L9" i="16"/>
  <c r="H11" i="16"/>
  <c r="I9" i="16"/>
  <c r="I5" i="16"/>
  <c r="I56" i="16"/>
  <c r="H54" i="16"/>
  <c r="H53" i="16"/>
  <c r="H52" i="16"/>
  <c r="H51" i="16"/>
  <c r="C51" i="16"/>
  <c r="H49" i="16"/>
  <c r="C49" i="16"/>
  <c r="H48" i="16"/>
  <c r="C48" i="16"/>
  <c r="H47" i="16"/>
  <c r="C47" i="16"/>
  <c r="H46" i="16"/>
  <c r="C46" i="16"/>
  <c r="I15" i="16"/>
  <c r="I13" i="16"/>
  <c r="H10" i="16"/>
  <c r="H9" i="16"/>
  <c r="H8" i="16"/>
  <c r="H7" i="16"/>
  <c r="C7" i="16"/>
  <c r="H6" i="16"/>
  <c r="C6" i="16"/>
  <c r="H5" i="16"/>
  <c r="C5" i="16"/>
  <c r="I4" i="16"/>
  <c r="H4" i="16"/>
  <c r="C4" i="16"/>
  <c r="I2" i="16"/>
  <c r="H106" i="16"/>
  <c r="I107" i="16"/>
  <c r="H96" i="16"/>
  <c r="I91" i="16"/>
  <c r="H90" i="16"/>
  <c r="H91" i="16"/>
  <c r="H92" i="16"/>
  <c r="H93" i="16"/>
  <c r="H94" i="16"/>
  <c r="H95" i="16"/>
  <c r="H89" i="16"/>
  <c r="H88" i="16"/>
  <c r="H105" i="16"/>
  <c r="H104" i="16"/>
  <c r="H103" i="16"/>
  <c r="H102" i="16"/>
  <c r="C102" i="16"/>
  <c r="H101" i="16"/>
  <c r="C101" i="16"/>
  <c r="H100" i="16"/>
  <c r="C100" i="16"/>
  <c r="H99" i="16"/>
  <c r="C99" i="16"/>
  <c r="H98" i="16"/>
  <c r="C98" i="16"/>
  <c r="C91" i="16"/>
  <c r="C90" i="16"/>
  <c r="C89" i="16"/>
  <c r="C88" i="16"/>
  <c r="H86" i="16"/>
  <c r="I85" i="16"/>
  <c r="H85" i="16"/>
  <c r="H84" i="16"/>
  <c r="H83" i="16"/>
  <c r="H82" i="16"/>
  <c r="H81" i="16"/>
  <c r="H80" i="16"/>
  <c r="C80" i="16"/>
  <c r="I79" i="16"/>
  <c r="H79" i="16"/>
  <c r="C79" i="16"/>
  <c r="H78" i="16"/>
  <c r="C78" i="16"/>
  <c r="I77" i="16"/>
  <c r="H77" i="16"/>
  <c r="C77" i="16"/>
  <c r="H75" i="16"/>
  <c r="H74" i="16"/>
  <c r="H73" i="16"/>
  <c r="H72" i="16"/>
  <c r="H71" i="16"/>
  <c r="C71" i="16"/>
  <c r="H70" i="16"/>
  <c r="C70" i="16"/>
  <c r="I69" i="16"/>
  <c r="H69" i="16"/>
  <c r="C69" i="16"/>
  <c r="I68" i="16"/>
  <c r="H68" i="16"/>
  <c r="C68" i="16"/>
  <c r="I66" i="16"/>
  <c r="H164" i="16"/>
  <c r="H156" i="16"/>
  <c r="I165" i="16"/>
  <c r="H158" i="16"/>
  <c r="C158" i="16"/>
  <c r="H154" i="16"/>
  <c r="I149" i="16"/>
  <c r="C149" i="16"/>
  <c r="C150" i="16"/>
  <c r="H133" i="16"/>
  <c r="H150" i="16"/>
  <c r="H23" i="16" l="1"/>
  <c r="I23" i="16" s="1"/>
  <c r="H45" i="16"/>
  <c r="I45" i="16" s="1"/>
  <c r="H34" i="16"/>
  <c r="I34" i="16" s="1"/>
  <c r="H12" i="16"/>
  <c r="I12" i="16" s="1"/>
  <c r="H76" i="16"/>
  <c r="I76" i="16" s="1"/>
  <c r="H56" i="16"/>
  <c r="H97" i="16"/>
  <c r="I94" i="16" s="1"/>
  <c r="H107" i="16"/>
  <c r="H87" i="16"/>
  <c r="I87" i="16" s="1"/>
  <c r="H144" i="16"/>
  <c r="I143" i="16"/>
  <c r="I137" i="16"/>
  <c r="H141" i="16"/>
  <c r="H135" i="16"/>
  <c r="I30" i="16" l="1"/>
  <c r="I71" i="16"/>
  <c r="I57" i="16"/>
  <c r="I108" i="16"/>
  <c r="I97" i="16"/>
  <c r="H131" i="16"/>
  <c r="I127" i="16" l="1"/>
  <c r="H351" i="18" l="1"/>
  <c r="H350" i="18"/>
  <c r="H349" i="18"/>
  <c r="H348" i="18"/>
  <c r="H347" i="18"/>
  <c r="H346" i="18"/>
  <c r="H345" i="18"/>
  <c r="C345" i="18"/>
  <c r="J344" i="18"/>
  <c r="H344" i="18"/>
  <c r="C344" i="18"/>
  <c r="H343" i="18"/>
  <c r="H352" i="18" s="1"/>
  <c r="C343" i="18"/>
  <c r="Q342" i="18"/>
  <c r="H341" i="18"/>
  <c r="H340" i="18"/>
  <c r="Q339" i="18"/>
  <c r="L339" i="18"/>
  <c r="H339" i="18"/>
  <c r="Q338" i="18"/>
  <c r="L338" i="18"/>
  <c r="H338" i="18"/>
  <c r="Q337" i="18"/>
  <c r="L337" i="18"/>
  <c r="H337" i="18"/>
  <c r="Q336" i="18"/>
  <c r="L336" i="18"/>
  <c r="H336" i="18"/>
  <c r="Q335" i="18"/>
  <c r="L335" i="18"/>
  <c r="I335" i="18"/>
  <c r="H335" i="18"/>
  <c r="C335" i="18"/>
  <c r="H334" i="18"/>
  <c r="C334" i="18"/>
  <c r="J333" i="18"/>
  <c r="H333" i="18"/>
  <c r="C333" i="18"/>
  <c r="H332" i="18"/>
  <c r="H342" i="18" s="1"/>
  <c r="I338" i="18" s="1"/>
  <c r="C332" i="18"/>
  <c r="H330" i="18"/>
  <c r="H329" i="18"/>
  <c r="I328" i="18"/>
  <c r="H328" i="18"/>
  <c r="H327" i="18"/>
  <c r="H326" i="18"/>
  <c r="H325" i="18"/>
  <c r="H324" i="18"/>
  <c r="H331" i="18" s="1"/>
  <c r="I331" i="18" s="1"/>
  <c r="J323" i="18"/>
  <c r="I323" i="18"/>
  <c r="H323" i="18"/>
  <c r="C323" i="18"/>
  <c r="H322" i="18"/>
  <c r="C322" i="18"/>
  <c r="H321" i="18"/>
  <c r="C321" i="18"/>
  <c r="H319" i="18"/>
  <c r="H318" i="18"/>
  <c r="H317" i="18"/>
  <c r="H316" i="18"/>
  <c r="C316" i="18"/>
  <c r="H315" i="18"/>
  <c r="C315" i="18"/>
  <c r="H314" i="18"/>
  <c r="C314" i="18"/>
  <c r="J313" i="18"/>
  <c r="I313" i="18"/>
  <c r="H313" i="18"/>
  <c r="C313" i="18"/>
  <c r="H312" i="18"/>
  <c r="H320" i="18" s="1"/>
  <c r="C312" i="18"/>
  <c r="L311" i="18"/>
  <c r="H310" i="18"/>
  <c r="H309" i="18"/>
  <c r="H308" i="18"/>
  <c r="H307" i="18"/>
  <c r="L306" i="18"/>
  <c r="I306" i="18"/>
  <c r="H306" i="18"/>
  <c r="C306" i="18"/>
  <c r="T305" i="18"/>
  <c r="L305" i="18"/>
  <c r="H305" i="18"/>
  <c r="C305" i="18"/>
  <c r="T304" i="18"/>
  <c r="O304" i="18"/>
  <c r="L304" i="18"/>
  <c r="H304" i="18"/>
  <c r="C304" i="18"/>
  <c r="T303" i="18"/>
  <c r="O303" i="18"/>
  <c r="I303" i="18"/>
  <c r="H303" i="18"/>
  <c r="C303" i="18"/>
  <c r="T302" i="18"/>
  <c r="O302" i="18"/>
  <c r="H302" i="18"/>
  <c r="H311" i="18" s="1"/>
  <c r="C302" i="18"/>
  <c r="T301" i="18"/>
  <c r="O301" i="18"/>
  <c r="K301" i="18"/>
  <c r="I299" i="18"/>
  <c r="I260" i="18"/>
  <c r="H260" i="18"/>
  <c r="H259" i="18"/>
  <c r="H258" i="18"/>
  <c r="H257" i="18"/>
  <c r="C257" i="18"/>
  <c r="H256" i="18"/>
  <c r="C256" i="18"/>
  <c r="H255" i="18"/>
  <c r="C255" i="18"/>
  <c r="J254" i="18"/>
  <c r="H254" i="18"/>
  <c r="C254" i="18"/>
  <c r="H253" i="18"/>
  <c r="H261" i="18" s="1"/>
  <c r="C253" i="18"/>
  <c r="Q252" i="18"/>
  <c r="H251" i="18"/>
  <c r="Q250" i="18"/>
  <c r="L250" i="18"/>
  <c r="H250" i="18"/>
  <c r="Q249" i="18"/>
  <c r="L249" i="18"/>
  <c r="H249" i="18"/>
  <c r="Q248" i="18"/>
  <c r="L248" i="18"/>
  <c r="H248" i="18"/>
  <c r="Q247" i="18"/>
  <c r="H247" i="18"/>
  <c r="Q246" i="18"/>
  <c r="I246" i="18"/>
  <c r="H246" i="18"/>
  <c r="Q245" i="18"/>
  <c r="H245" i="18"/>
  <c r="C245" i="18"/>
  <c r="Q244" i="18"/>
  <c r="J244" i="18"/>
  <c r="H244" i="18"/>
  <c r="C244" i="18"/>
  <c r="Q243" i="18"/>
  <c r="H243" i="18"/>
  <c r="H252" i="18" s="1"/>
  <c r="C243" i="18"/>
  <c r="Q242" i="18"/>
  <c r="Q241" i="18"/>
  <c r="L241" i="18"/>
  <c r="H241" i="18"/>
  <c r="Q240" i="18"/>
  <c r="L240" i="18"/>
  <c r="I240" i="18"/>
  <c r="H240" i="18"/>
  <c r="H239" i="18"/>
  <c r="Q238" i="18"/>
  <c r="L238" i="18"/>
  <c r="H238" i="18"/>
  <c r="H237" i="18"/>
  <c r="H236" i="18"/>
  <c r="H235" i="18"/>
  <c r="C235" i="18"/>
  <c r="J234" i="18"/>
  <c r="I234" i="18"/>
  <c r="H234" i="18"/>
  <c r="C234" i="18"/>
  <c r="Q233" i="18"/>
  <c r="H233" i="18"/>
  <c r="C233" i="18"/>
  <c r="Q232" i="18"/>
  <c r="H232" i="18"/>
  <c r="H242" i="18" s="1"/>
  <c r="I242" i="18" s="1"/>
  <c r="C232" i="18"/>
  <c r="Q231" i="18"/>
  <c r="Q230" i="18"/>
  <c r="L230" i="18"/>
  <c r="H230" i="18"/>
  <c r="Q229" i="18"/>
  <c r="L229" i="18"/>
  <c r="H229" i="18"/>
  <c r="Q228" i="18"/>
  <c r="L228" i="18"/>
  <c r="H228" i="18"/>
  <c r="H227" i="18"/>
  <c r="Q226" i="18"/>
  <c r="L226" i="18"/>
  <c r="H226" i="18"/>
  <c r="C226" i="18"/>
  <c r="Q225" i="18"/>
  <c r="L225" i="18"/>
  <c r="H225" i="18"/>
  <c r="C225" i="18"/>
  <c r="H224" i="18"/>
  <c r="C224" i="18"/>
  <c r="J223" i="18"/>
  <c r="I223" i="18"/>
  <c r="H223" i="18"/>
  <c r="H231" i="18" s="1"/>
  <c r="I225" i="18" s="1"/>
  <c r="C223" i="18"/>
  <c r="H222" i="18"/>
  <c r="C222" i="18"/>
  <c r="L221" i="18"/>
  <c r="H220" i="18"/>
  <c r="H219" i="18"/>
  <c r="I218" i="18"/>
  <c r="H218" i="18"/>
  <c r="H217" i="18"/>
  <c r="C217" i="18"/>
  <c r="L216" i="18"/>
  <c r="I216" i="18"/>
  <c r="I221" i="18" s="1"/>
  <c r="H216" i="18"/>
  <c r="C216" i="18"/>
  <c r="T215" i="18"/>
  <c r="L215" i="18"/>
  <c r="H215" i="18"/>
  <c r="C215" i="18"/>
  <c r="T214" i="18"/>
  <c r="O214" i="18"/>
  <c r="L214" i="18"/>
  <c r="H214" i="18"/>
  <c r="C214" i="18"/>
  <c r="T213" i="18"/>
  <c r="O213" i="18"/>
  <c r="I213" i="18"/>
  <c r="I214" i="18" s="1"/>
  <c r="H213" i="18"/>
  <c r="C213" i="18"/>
  <c r="T212" i="18"/>
  <c r="O212" i="18"/>
  <c r="H212" i="18"/>
  <c r="H221" i="18" s="1"/>
  <c r="C212" i="18"/>
  <c r="T211" i="18"/>
  <c r="O211" i="18"/>
  <c r="K211" i="18"/>
  <c r="I209" i="18"/>
  <c r="H189" i="18"/>
  <c r="H188" i="18"/>
  <c r="H187" i="18"/>
  <c r="H186" i="18"/>
  <c r="H185" i="18"/>
  <c r="C185" i="18"/>
  <c r="H184" i="18"/>
  <c r="C184" i="18"/>
  <c r="H183" i="18"/>
  <c r="C183" i="18"/>
  <c r="J182" i="18"/>
  <c r="H182" i="18"/>
  <c r="H190" i="18" s="1"/>
  <c r="J190" i="18" s="1"/>
  <c r="C182" i="18"/>
  <c r="H181" i="18"/>
  <c r="C181" i="18"/>
  <c r="Q180" i="18"/>
  <c r="H179" i="18"/>
  <c r="Q178" i="18"/>
  <c r="L178" i="18"/>
  <c r="H178" i="18"/>
  <c r="Q177" i="18"/>
  <c r="L177" i="18"/>
  <c r="H177" i="18"/>
  <c r="Q176" i="18"/>
  <c r="L176" i="18"/>
  <c r="H176" i="18"/>
  <c r="Q175" i="18"/>
  <c r="H175" i="18"/>
  <c r="Q174" i="18"/>
  <c r="I174" i="18"/>
  <c r="H174" i="18"/>
  <c r="Q173" i="18"/>
  <c r="H173" i="18"/>
  <c r="C173" i="18"/>
  <c r="Q172" i="18"/>
  <c r="J172" i="18"/>
  <c r="H172" i="18"/>
  <c r="C172" i="18"/>
  <c r="Q171" i="18"/>
  <c r="H171" i="18"/>
  <c r="H180" i="18" s="1"/>
  <c r="C171" i="18"/>
  <c r="Q170" i="18"/>
  <c r="Q169" i="18"/>
  <c r="L169" i="18"/>
  <c r="H169" i="18"/>
  <c r="Q168" i="18"/>
  <c r="L168" i="18"/>
  <c r="I168" i="18"/>
  <c r="H168" i="18"/>
  <c r="H167" i="18"/>
  <c r="Q166" i="18"/>
  <c r="L166" i="18"/>
  <c r="H166" i="18"/>
  <c r="H165" i="18"/>
  <c r="H164" i="18"/>
  <c r="H163" i="18"/>
  <c r="C163" i="18"/>
  <c r="J162" i="18"/>
  <c r="I162" i="18"/>
  <c r="H162" i="18"/>
  <c r="C162" i="18"/>
  <c r="Q161" i="18"/>
  <c r="H161" i="18"/>
  <c r="C161" i="18"/>
  <c r="Q160" i="18"/>
  <c r="I160" i="18"/>
  <c r="H160" i="18"/>
  <c r="H170" i="18" s="1"/>
  <c r="I170" i="18" s="1"/>
  <c r="C160" i="18"/>
  <c r="Q159" i="18"/>
  <c r="Q158" i="18"/>
  <c r="L158" i="18"/>
  <c r="H158" i="18"/>
  <c r="Q157" i="18"/>
  <c r="L157" i="18"/>
  <c r="H157" i="18"/>
  <c r="Q156" i="18"/>
  <c r="L156" i="18"/>
  <c r="H156" i="18"/>
  <c r="H155" i="18"/>
  <c r="Q154" i="18"/>
  <c r="L154" i="18"/>
  <c r="H154" i="18"/>
  <c r="C154" i="18"/>
  <c r="H153" i="18"/>
  <c r="C153" i="18"/>
  <c r="J152" i="18"/>
  <c r="I152" i="18"/>
  <c r="H152" i="18"/>
  <c r="H159" i="18" s="1"/>
  <c r="C152" i="18"/>
  <c r="H151" i="18"/>
  <c r="C151" i="18"/>
  <c r="L150" i="18"/>
  <c r="H149" i="18"/>
  <c r="H148" i="18"/>
  <c r="H147" i="18"/>
  <c r="I146" i="18"/>
  <c r="H146" i="18"/>
  <c r="H145" i="18"/>
  <c r="C145" i="18"/>
  <c r="L144" i="18"/>
  <c r="I144" i="18"/>
  <c r="H144" i="18"/>
  <c r="C144" i="18"/>
  <c r="T143" i="18"/>
  <c r="L143" i="18"/>
  <c r="H143" i="18"/>
  <c r="C143" i="18"/>
  <c r="T142" i="18"/>
  <c r="O142" i="18"/>
  <c r="L142" i="18"/>
  <c r="H142" i="18"/>
  <c r="C142" i="18"/>
  <c r="T141" i="18"/>
  <c r="O141" i="18"/>
  <c r="I141" i="18"/>
  <c r="H141" i="18"/>
  <c r="C141" i="18"/>
  <c r="T140" i="18"/>
  <c r="O140" i="18"/>
  <c r="H140" i="18"/>
  <c r="H150" i="18" s="1"/>
  <c r="C140" i="18"/>
  <c r="T139" i="18"/>
  <c r="O139" i="18"/>
  <c r="K139" i="18"/>
  <c r="I137" i="18"/>
  <c r="I118" i="18"/>
  <c r="H117" i="18"/>
  <c r="H116" i="18"/>
  <c r="H115" i="18"/>
  <c r="H114" i="18"/>
  <c r="H113" i="18"/>
  <c r="H112" i="18"/>
  <c r="C112" i="18"/>
  <c r="H111" i="18"/>
  <c r="C111" i="18"/>
  <c r="H110" i="18"/>
  <c r="C110" i="18"/>
  <c r="H109" i="18"/>
  <c r="H118" i="18" s="1"/>
  <c r="J118" i="18" s="1"/>
  <c r="C109" i="18"/>
  <c r="Q108" i="18"/>
  <c r="H107" i="18"/>
  <c r="Q106" i="18"/>
  <c r="L106" i="18"/>
  <c r="H106" i="18"/>
  <c r="Q105" i="18"/>
  <c r="L105" i="18"/>
  <c r="H105" i="18"/>
  <c r="H104" i="18"/>
  <c r="Q103" i="18"/>
  <c r="H103" i="18"/>
  <c r="Q102" i="18"/>
  <c r="I102" i="18"/>
  <c r="H102" i="18"/>
  <c r="Q101" i="18"/>
  <c r="H101" i="18"/>
  <c r="C101" i="18"/>
  <c r="Q100" i="18"/>
  <c r="J100" i="18"/>
  <c r="H100" i="18"/>
  <c r="C100" i="18"/>
  <c r="Q99" i="18"/>
  <c r="H99" i="18"/>
  <c r="H108" i="18" s="1"/>
  <c r="C99" i="18"/>
  <c r="Q98" i="18"/>
  <c r="Q97" i="18"/>
  <c r="L97" i="18"/>
  <c r="H97" i="18"/>
  <c r="Q96" i="18"/>
  <c r="L96" i="18"/>
  <c r="I96" i="18"/>
  <c r="H96" i="18"/>
  <c r="H95" i="18"/>
  <c r="Q94" i="18"/>
  <c r="L94" i="18"/>
  <c r="H94" i="18"/>
  <c r="H93" i="18"/>
  <c r="H98" i="18" s="1"/>
  <c r="I98" i="18" s="1"/>
  <c r="H92" i="18"/>
  <c r="H91" i="18"/>
  <c r="C91" i="18"/>
  <c r="J90" i="18"/>
  <c r="I90" i="18"/>
  <c r="H90" i="18"/>
  <c r="C90" i="18"/>
  <c r="Q89" i="18"/>
  <c r="H89" i="18"/>
  <c r="C89" i="18"/>
  <c r="Q88" i="18"/>
  <c r="I88" i="18"/>
  <c r="H88" i="18"/>
  <c r="C88" i="18"/>
  <c r="Q87" i="18"/>
  <c r="Q86" i="18"/>
  <c r="L86" i="18"/>
  <c r="H86" i="18"/>
  <c r="Q85" i="18"/>
  <c r="L85" i="18"/>
  <c r="H85" i="18"/>
  <c r="Q84" i="18"/>
  <c r="L84" i="18"/>
  <c r="H84" i="18"/>
  <c r="H83" i="18"/>
  <c r="Q82" i="18"/>
  <c r="L82" i="18"/>
  <c r="H82" i="18"/>
  <c r="C82" i="18"/>
  <c r="H81" i="18"/>
  <c r="C81" i="18"/>
  <c r="J80" i="18"/>
  <c r="I80" i="18"/>
  <c r="H80" i="18"/>
  <c r="C80" i="18"/>
  <c r="H79" i="18"/>
  <c r="H87" i="18" s="1"/>
  <c r="I87" i="18" s="1"/>
  <c r="C79" i="18"/>
  <c r="L78" i="18"/>
  <c r="H77" i="18"/>
  <c r="H76" i="18"/>
  <c r="I75" i="18"/>
  <c r="H75" i="18"/>
  <c r="H74" i="18"/>
  <c r="L73" i="18"/>
  <c r="I73" i="18"/>
  <c r="H73" i="18"/>
  <c r="C73" i="18"/>
  <c r="T72" i="18"/>
  <c r="L72" i="18"/>
  <c r="H72" i="18"/>
  <c r="C72" i="18"/>
  <c r="T71" i="18"/>
  <c r="O71" i="18"/>
  <c r="L71" i="18"/>
  <c r="H71" i="18"/>
  <c r="C71" i="18"/>
  <c r="T70" i="18"/>
  <c r="O70" i="18"/>
  <c r="I70" i="18"/>
  <c r="H70" i="18"/>
  <c r="C70" i="18"/>
  <c r="T69" i="18"/>
  <c r="O69" i="18"/>
  <c r="H69" i="18"/>
  <c r="H78" i="18" s="1"/>
  <c r="C69" i="18"/>
  <c r="T68" i="18"/>
  <c r="O68" i="18"/>
  <c r="K68" i="18"/>
  <c r="I66" i="18"/>
  <c r="L14" i="18"/>
  <c r="H13" i="18"/>
  <c r="H12" i="18"/>
  <c r="I11" i="18"/>
  <c r="H11" i="18"/>
  <c r="H10" i="18"/>
  <c r="L9" i="18"/>
  <c r="I9" i="18"/>
  <c r="H9" i="18"/>
  <c r="C9" i="18"/>
  <c r="T8" i="18"/>
  <c r="L8" i="18"/>
  <c r="H8" i="18"/>
  <c r="C8" i="18"/>
  <c r="T7" i="18"/>
  <c r="O7" i="18"/>
  <c r="L7" i="18"/>
  <c r="H7" i="18"/>
  <c r="C7" i="18"/>
  <c r="T6" i="18"/>
  <c r="O6" i="18"/>
  <c r="I6" i="18"/>
  <c r="H6" i="18"/>
  <c r="C6" i="18"/>
  <c r="T5" i="18"/>
  <c r="O5" i="18"/>
  <c r="H5" i="18"/>
  <c r="H14" i="18" s="1"/>
  <c r="C5" i="18"/>
  <c r="T4" i="18"/>
  <c r="O4" i="18"/>
  <c r="K4" i="18"/>
  <c r="I2" i="18"/>
  <c r="H163" i="16"/>
  <c r="H162" i="16"/>
  <c r="H161" i="16"/>
  <c r="H160" i="16"/>
  <c r="H159" i="16"/>
  <c r="C159" i="16"/>
  <c r="H157" i="16"/>
  <c r="C157" i="16"/>
  <c r="C156" i="16"/>
  <c r="H151" i="16"/>
  <c r="H153" i="16"/>
  <c r="H152" i="16"/>
  <c r="H149" i="16"/>
  <c r="H148" i="16"/>
  <c r="C148" i="16"/>
  <c r="H147" i="16"/>
  <c r="C147" i="16"/>
  <c r="H146" i="16"/>
  <c r="C146" i="16"/>
  <c r="H143" i="16"/>
  <c r="H142" i="16"/>
  <c r="H140" i="16"/>
  <c r="H139" i="16"/>
  <c r="H138" i="16"/>
  <c r="C138" i="16"/>
  <c r="H137" i="16"/>
  <c r="C137" i="16"/>
  <c r="H136" i="16"/>
  <c r="C136" i="16"/>
  <c r="I135" i="16"/>
  <c r="C135" i="16"/>
  <c r="H132" i="16"/>
  <c r="H130" i="16"/>
  <c r="H129" i="16"/>
  <c r="C129" i="16"/>
  <c r="H128" i="16"/>
  <c r="C128" i="16"/>
  <c r="H127" i="16"/>
  <c r="C127" i="16"/>
  <c r="H126" i="16"/>
  <c r="C126" i="16"/>
  <c r="I124" i="16"/>
  <c r="I207" i="16"/>
  <c r="H236" i="16"/>
  <c r="H216" i="16"/>
  <c r="H226" i="16"/>
  <c r="I215" i="16"/>
  <c r="H205" i="16"/>
  <c r="H235" i="16"/>
  <c r="H234" i="16"/>
  <c r="H233" i="16"/>
  <c r="H232" i="16"/>
  <c r="C232" i="16"/>
  <c r="H231" i="16"/>
  <c r="C231" i="16"/>
  <c r="H230" i="16"/>
  <c r="C230" i="16"/>
  <c r="H229" i="16"/>
  <c r="C229" i="16"/>
  <c r="H228" i="16"/>
  <c r="C228" i="16"/>
  <c r="I221" i="16"/>
  <c r="I199" i="16"/>
  <c r="H145" i="16" l="1"/>
  <c r="I145" i="16" s="1"/>
  <c r="H165" i="16"/>
  <c r="I10" i="18"/>
  <c r="I14" i="18"/>
  <c r="I74" i="18"/>
  <c r="I79" i="18"/>
  <c r="I78" i="18"/>
  <c r="I154" i="18"/>
  <c r="I159" i="18"/>
  <c r="I312" i="18"/>
  <c r="I311" i="18"/>
  <c r="I307" i="18"/>
  <c r="I7" i="18"/>
  <c r="I71" i="18"/>
  <c r="I142" i="18"/>
  <c r="I190" i="18"/>
  <c r="I222" i="18"/>
  <c r="I217" i="18"/>
  <c r="I231" i="18"/>
  <c r="I261" i="18"/>
  <c r="J261" i="18"/>
  <c r="I304" i="18"/>
  <c r="J352" i="18"/>
  <c r="I352" i="18"/>
  <c r="I145" i="18"/>
  <c r="I151" i="18"/>
  <c r="I150" i="18"/>
  <c r="I180" i="18"/>
  <c r="I177" i="18"/>
  <c r="I108" i="18"/>
  <c r="I105" i="18"/>
  <c r="I342" i="18"/>
  <c r="I82" i="18"/>
  <c r="I252" i="18"/>
  <c r="I249" i="18"/>
  <c r="I320" i="18"/>
  <c r="I315" i="18"/>
  <c r="H134" i="16"/>
  <c r="I134" i="16" s="1"/>
  <c r="H155" i="16"/>
  <c r="I152" i="16" s="1"/>
  <c r="I126" i="16"/>
  <c r="H237" i="16"/>
  <c r="I237" i="16" s="1"/>
  <c r="H196" i="16"/>
  <c r="I191" i="16"/>
  <c r="H200" i="16"/>
  <c r="H201" i="16"/>
  <c r="H202" i="16"/>
  <c r="H203" i="16"/>
  <c r="H204" i="16"/>
  <c r="H199" i="16"/>
  <c r="H194" i="16"/>
  <c r="H195" i="16"/>
  <c r="H225" i="16"/>
  <c r="H224" i="16"/>
  <c r="H223" i="16"/>
  <c r="H222" i="16"/>
  <c r="H221" i="16"/>
  <c r="H220" i="16"/>
  <c r="C220" i="16"/>
  <c r="H219" i="16"/>
  <c r="C219" i="16"/>
  <c r="H218" i="16"/>
  <c r="C218" i="16"/>
  <c r="H215" i="16"/>
  <c r="H214" i="16"/>
  <c r="H213" i="16"/>
  <c r="H212" i="16"/>
  <c r="H211" i="16"/>
  <c r="H210" i="16"/>
  <c r="C210" i="16"/>
  <c r="I209" i="16"/>
  <c r="H209" i="16"/>
  <c r="C209" i="16"/>
  <c r="H208" i="16"/>
  <c r="C208" i="16"/>
  <c r="H207" i="16"/>
  <c r="C207" i="16"/>
  <c r="C201" i="16"/>
  <c r="C200" i="16"/>
  <c r="C199" i="16"/>
  <c r="H198" i="16"/>
  <c r="C198" i="16"/>
  <c r="I193" i="16"/>
  <c r="H193" i="16"/>
  <c r="H192" i="16"/>
  <c r="C192" i="16"/>
  <c r="H191" i="16"/>
  <c r="C191" i="16"/>
  <c r="J190" i="16"/>
  <c r="H190" i="16"/>
  <c r="C190" i="16"/>
  <c r="J189" i="16"/>
  <c r="H189" i="16"/>
  <c r="C189" i="16"/>
  <c r="J188" i="16"/>
  <c r="I188" i="16"/>
  <c r="H188" i="16"/>
  <c r="C188" i="16"/>
  <c r="J187" i="16"/>
  <c r="H187" i="16"/>
  <c r="C187" i="16"/>
  <c r="J186" i="16"/>
  <c r="I184" i="16"/>
  <c r="H288" i="16"/>
  <c r="H281" i="16"/>
  <c r="H298" i="16"/>
  <c r="H292" i="16"/>
  <c r="H307" i="16"/>
  <c r="H306" i="16"/>
  <c r="H305" i="16"/>
  <c r="H304" i="16"/>
  <c r="C304" i="16"/>
  <c r="H303" i="16"/>
  <c r="C303" i="16"/>
  <c r="H302" i="16"/>
  <c r="C302" i="16"/>
  <c r="H301" i="16"/>
  <c r="C301" i="16"/>
  <c r="H300" i="16"/>
  <c r="C300" i="16"/>
  <c r="H297" i="16"/>
  <c r="H296" i="16"/>
  <c r="H295" i="16"/>
  <c r="H294" i="16"/>
  <c r="H293" i="16"/>
  <c r="C292" i="16"/>
  <c r="H291" i="16"/>
  <c r="C291" i="16"/>
  <c r="H290" i="16"/>
  <c r="C290" i="16"/>
  <c r="I293" i="16"/>
  <c r="I307" i="16"/>
  <c r="I287" i="16"/>
  <c r="H287" i="16"/>
  <c r="H286" i="16"/>
  <c r="H285" i="16"/>
  <c r="H284" i="16"/>
  <c r="H283" i="16"/>
  <c r="H282" i="16"/>
  <c r="C282" i="16"/>
  <c r="C281" i="16"/>
  <c r="H280" i="16"/>
  <c r="C280" i="16"/>
  <c r="H279" i="16"/>
  <c r="C279" i="16"/>
  <c r="H277" i="16"/>
  <c r="H276" i="16"/>
  <c r="H275" i="16"/>
  <c r="H274" i="16"/>
  <c r="H273" i="16"/>
  <c r="C273" i="16"/>
  <c r="H272" i="16"/>
  <c r="C272" i="16"/>
  <c r="H271" i="16"/>
  <c r="C271" i="16"/>
  <c r="H270" i="16"/>
  <c r="C270" i="16"/>
  <c r="H269" i="16"/>
  <c r="C269" i="16"/>
  <c r="H267" i="16"/>
  <c r="I270" i="16"/>
  <c r="I260" i="16"/>
  <c r="I265" i="16"/>
  <c r="I263" i="16"/>
  <c r="I129" i="16" l="1"/>
  <c r="I155" i="16"/>
  <c r="H206" i="16"/>
  <c r="I206" i="16" s="1"/>
  <c r="H227" i="16"/>
  <c r="I227" i="16" s="1"/>
  <c r="H197" i="16"/>
  <c r="I197" i="16" s="1"/>
  <c r="H217" i="16"/>
  <c r="I217" i="16" s="1"/>
  <c r="H299" i="16"/>
  <c r="I299" i="16" s="1"/>
  <c r="I224" i="16" l="1"/>
  <c r="I201" i="16"/>
  <c r="I192" i="16"/>
  <c r="I189" i="16"/>
  <c r="I198" i="16"/>
  <c r="H265" i="16"/>
  <c r="H264" i="16"/>
  <c r="C264" i="16"/>
  <c r="H263" i="16"/>
  <c r="C263" i="16"/>
  <c r="H262" i="16"/>
  <c r="C262" i="16"/>
  <c r="H261" i="16"/>
  <c r="C261" i="16"/>
  <c r="H260" i="16"/>
  <c r="C260" i="16"/>
  <c r="H259" i="16"/>
  <c r="C259" i="16"/>
  <c r="I281" i="16"/>
  <c r="H266" i="16"/>
  <c r="J262" i="16"/>
  <c r="J261" i="16"/>
  <c r="J260" i="16"/>
  <c r="J259" i="16"/>
  <c r="J258" i="16"/>
  <c r="I256" i="16"/>
  <c r="H398" i="16"/>
  <c r="H397" i="16"/>
  <c r="H391" i="16"/>
  <c r="H388" i="16"/>
  <c r="H396" i="16"/>
  <c r="H387" i="16"/>
  <c r="H386" i="16"/>
  <c r="H377" i="16"/>
  <c r="H381" i="16"/>
  <c r="C381" i="16"/>
  <c r="I382" i="16"/>
  <c r="H395" i="16"/>
  <c r="H394" i="16"/>
  <c r="H393" i="16"/>
  <c r="H392" i="16"/>
  <c r="C392" i="16"/>
  <c r="C391" i="16"/>
  <c r="H390" i="16"/>
  <c r="C390" i="16"/>
  <c r="H385" i="16"/>
  <c r="H384" i="16"/>
  <c r="H383" i="16"/>
  <c r="H382" i="16"/>
  <c r="C382" i="16"/>
  <c r="H380" i="16"/>
  <c r="C380" i="16"/>
  <c r="H379" i="16"/>
  <c r="C379" i="16"/>
  <c r="H375" i="16"/>
  <c r="H376" i="16"/>
  <c r="I370" i="16"/>
  <c r="H374" i="16"/>
  <c r="H373" i="16"/>
  <c r="H372" i="16"/>
  <c r="H371" i="16"/>
  <c r="H370" i="16"/>
  <c r="C370" i="16"/>
  <c r="H369" i="16"/>
  <c r="C369" i="16"/>
  <c r="H368" i="16"/>
  <c r="C368" i="16"/>
  <c r="H366" i="16"/>
  <c r="I360" i="16"/>
  <c r="H365" i="16"/>
  <c r="H364" i="16"/>
  <c r="H363" i="16"/>
  <c r="C363" i="16"/>
  <c r="H362" i="16"/>
  <c r="C362" i="16"/>
  <c r="H361" i="16"/>
  <c r="C361" i="16"/>
  <c r="H360" i="16"/>
  <c r="C360" i="16"/>
  <c r="H359" i="16"/>
  <c r="C359" i="16"/>
  <c r="I296" i="16" l="1"/>
  <c r="H289" i="16"/>
  <c r="I289" i="16" s="1"/>
  <c r="H308" i="16"/>
  <c r="H278" i="16"/>
  <c r="I272" i="16" s="1"/>
  <c r="H268" i="16"/>
  <c r="I269" i="16" s="1"/>
  <c r="H389" i="16"/>
  <c r="H378" i="16"/>
  <c r="H367" i="16"/>
  <c r="I308" i="16" l="1"/>
  <c r="I278" i="16"/>
  <c r="I264" i="16"/>
  <c r="I268" i="16"/>
  <c r="I261" i="16"/>
  <c r="H357" i="16"/>
  <c r="I350" i="16"/>
  <c r="H353" i="16"/>
  <c r="H354" i="16"/>
  <c r="H355" i="16"/>
  <c r="H356" i="16"/>
  <c r="C353" i="16"/>
  <c r="H352" i="16"/>
  <c r="C352" i="16"/>
  <c r="H351" i="16"/>
  <c r="C351" i="16"/>
  <c r="H350" i="16"/>
  <c r="C350" i="16"/>
  <c r="H349" i="16"/>
  <c r="C349" i="16"/>
  <c r="H358" i="16" l="1"/>
  <c r="I358" i="16" s="1"/>
  <c r="J1080" i="17" l="1"/>
  <c r="K1080" i="17" s="1"/>
  <c r="H1079" i="17"/>
  <c r="H1078" i="17"/>
  <c r="C1078" i="17"/>
  <c r="H1077" i="17"/>
  <c r="C1077" i="17"/>
  <c r="J1076" i="17"/>
  <c r="K1076" i="17" s="1"/>
  <c r="H1076" i="17"/>
  <c r="C1076" i="17"/>
  <c r="H1075" i="17"/>
  <c r="J1079" i="17" s="1"/>
  <c r="C1075" i="17"/>
  <c r="H1074" i="17"/>
  <c r="C1074" i="17"/>
  <c r="H1073" i="17"/>
  <c r="C1073" i="17"/>
  <c r="H1072" i="17"/>
  <c r="H1080" i="17" s="1"/>
  <c r="C1072" i="17"/>
  <c r="J1071" i="17"/>
  <c r="K1071" i="17" s="1"/>
  <c r="H1070" i="17"/>
  <c r="H1069" i="17"/>
  <c r="H1068" i="17"/>
  <c r="H1067" i="17"/>
  <c r="C1067" i="17"/>
  <c r="H1066" i="17"/>
  <c r="C1066" i="17"/>
  <c r="H1065" i="17"/>
  <c r="C1065" i="17"/>
  <c r="H1064" i="17"/>
  <c r="C1064" i="17"/>
  <c r="H1063" i="17"/>
  <c r="H1071" i="17" s="1"/>
  <c r="C1063" i="17"/>
  <c r="H1062" i="17"/>
  <c r="C1062" i="17"/>
  <c r="J1061" i="17"/>
  <c r="K1061" i="17" s="1"/>
  <c r="H1060" i="17"/>
  <c r="H1059" i="17"/>
  <c r="H1058" i="17"/>
  <c r="J1058" i="17" s="1"/>
  <c r="H1057" i="17"/>
  <c r="I1058" i="17" s="1"/>
  <c r="C1057" i="17"/>
  <c r="H1056" i="17"/>
  <c r="C1056" i="17"/>
  <c r="H1055" i="17"/>
  <c r="C1055" i="17"/>
  <c r="H1054" i="17"/>
  <c r="C1054" i="17"/>
  <c r="H1053" i="17"/>
  <c r="C1053" i="17"/>
  <c r="H1052" i="17"/>
  <c r="H1061" i="17" s="1"/>
  <c r="C1052" i="17"/>
  <c r="K1051" i="17"/>
  <c r="J1050" i="17"/>
  <c r="K1050" i="17" s="1"/>
  <c r="J1051" i="17" s="1"/>
  <c r="H1050" i="17"/>
  <c r="H1049" i="17"/>
  <c r="H1048" i="17"/>
  <c r="H1047" i="17"/>
  <c r="J1048" i="17" s="1"/>
  <c r="C1047" i="17"/>
  <c r="L1046" i="17"/>
  <c r="H1046" i="17"/>
  <c r="C1046" i="17"/>
  <c r="L1045" i="17"/>
  <c r="H1045" i="17"/>
  <c r="C1045" i="17"/>
  <c r="L1044" i="17"/>
  <c r="H1044" i="17"/>
  <c r="H1051" i="17" s="1"/>
  <c r="C1044" i="17"/>
  <c r="L1043" i="17"/>
  <c r="H1043" i="17"/>
  <c r="C1043" i="17"/>
  <c r="L1042" i="17"/>
  <c r="H1041" i="17"/>
  <c r="H1040" i="17"/>
  <c r="J1039" i="17"/>
  <c r="K1039" i="17" s="1"/>
  <c r="H1039" i="17"/>
  <c r="H1038" i="17"/>
  <c r="H1037" i="17"/>
  <c r="H1042" i="17" s="1"/>
  <c r="H1036" i="17"/>
  <c r="H1035" i="17"/>
  <c r="H1034" i="17"/>
  <c r="J1009" i="17"/>
  <c r="K1009" i="17" s="1"/>
  <c r="L1008" i="17"/>
  <c r="K1008" i="17"/>
  <c r="H1008" i="17"/>
  <c r="C1008" i="17"/>
  <c r="H1007" i="17"/>
  <c r="C1007" i="17"/>
  <c r="H1006" i="17"/>
  <c r="C1006" i="17"/>
  <c r="H1005" i="17"/>
  <c r="C1005" i="17"/>
  <c r="H1004" i="17"/>
  <c r="C1004" i="17"/>
  <c r="H1003" i="17"/>
  <c r="C1003" i="17"/>
  <c r="H1002" i="17"/>
  <c r="H1009" i="17" s="1"/>
  <c r="L1009" i="17" s="1"/>
  <c r="C1002" i="17"/>
  <c r="J1001" i="17"/>
  <c r="K1001" i="17" s="1"/>
  <c r="H999" i="17"/>
  <c r="H998" i="17"/>
  <c r="H997" i="17"/>
  <c r="H996" i="17"/>
  <c r="H995" i="17"/>
  <c r="H994" i="17"/>
  <c r="H993" i="17"/>
  <c r="H992" i="17"/>
  <c r="H991" i="17"/>
  <c r="H990" i="17"/>
  <c r="H1001" i="17" s="1"/>
  <c r="J989" i="17"/>
  <c r="K989" i="17" s="1"/>
  <c r="H988" i="17"/>
  <c r="H987" i="17"/>
  <c r="H986" i="17"/>
  <c r="H985" i="17"/>
  <c r="C985" i="17"/>
  <c r="H984" i="17"/>
  <c r="C984" i="17"/>
  <c r="H983" i="17"/>
  <c r="C983" i="17"/>
  <c r="H982" i="17"/>
  <c r="C982" i="17"/>
  <c r="H981" i="17"/>
  <c r="C981" i="17"/>
  <c r="H980" i="17"/>
  <c r="H989" i="17" s="1"/>
  <c r="C980" i="17"/>
  <c r="J979" i="17"/>
  <c r="K979" i="17" s="1"/>
  <c r="H979" i="17"/>
  <c r="H978" i="17"/>
  <c r="H977" i="17"/>
  <c r="H976" i="17"/>
  <c r="C976" i="17"/>
  <c r="H975" i="17"/>
  <c r="C975" i="17"/>
  <c r="H974" i="17"/>
  <c r="C974" i="17"/>
  <c r="H973" i="17"/>
  <c r="C973" i="17"/>
  <c r="H972" i="17"/>
  <c r="C972" i="17"/>
  <c r="H971" i="17"/>
  <c r="C971" i="17"/>
  <c r="J970" i="17"/>
  <c r="K970" i="17" s="1"/>
  <c r="H969" i="17"/>
  <c r="H968" i="17"/>
  <c r="J967" i="17"/>
  <c r="H967" i="17"/>
  <c r="C967" i="17"/>
  <c r="H966" i="17"/>
  <c r="C966" i="17"/>
  <c r="H965" i="17"/>
  <c r="C965" i="17"/>
  <c r="H964" i="17"/>
  <c r="C964" i="17"/>
  <c r="H963" i="17"/>
  <c r="H970" i="17" s="1"/>
  <c r="C963" i="17"/>
  <c r="J940" i="17"/>
  <c r="K940" i="17" s="1"/>
  <c r="J939" i="17"/>
  <c r="K939" i="17" s="1"/>
  <c r="H939" i="17"/>
  <c r="H938" i="17"/>
  <c r="C938" i="17"/>
  <c r="H937" i="17"/>
  <c r="C937" i="17"/>
  <c r="J936" i="17"/>
  <c r="K936" i="17" s="1"/>
  <c r="H936" i="17"/>
  <c r="C936" i="17"/>
  <c r="H935" i="17"/>
  <c r="C935" i="17"/>
  <c r="H934" i="17"/>
  <c r="C934" i="17"/>
  <c r="H933" i="17"/>
  <c r="C933" i="17"/>
  <c r="H932" i="17"/>
  <c r="H940" i="17" s="1"/>
  <c r="K937" i="17" s="1"/>
  <c r="C932" i="17"/>
  <c r="J931" i="17"/>
  <c r="K931" i="17" s="1"/>
  <c r="H930" i="17"/>
  <c r="H929" i="17"/>
  <c r="H928" i="17"/>
  <c r="H927" i="17"/>
  <c r="C927" i="17"/>
  <c r="H926" i="17"/>
  <c r="C926" i="17"/>
  <c r="H925" i="17"/>
  <c r="C925" i="17"/>
  <c r="H924" i="17"/>
  <c r="C924" i="17"/>
  <c r="H923" i="17"/>
  <c r="C923" i="17"/>
  <c r="H922" i="17"/>
  <c r="C922" i="17"/>
  <c r="H921" i="17"/>
  <c r="H931" i="17" s="1"/>
  <c r="L931" i="17" s="1"/>
  <c r="C921" i="17"/>
  <c r="J920" i="17"/>
  <c r="K920" i="17" s="1"/>
  <c r="H920" i="17"/>
  <c r="H919" i="17"/>
  <c r="H918" i="17"/>
  <c r="I917" i="17"/>
  <c r="H917" i="17"/>
  <c r="J917" i="17" s="1"/>
  <c r="J916" i="17"/>
  <c r="H916" i="17"/>
  <c r="C916" i="17"/>
  <c r="H915" i="17"/>
  <c r="C915" i="17"/>
  <c r="H914" i="17"/>
  <c r="C914" i="17"/>
  <c r="H913" i="17"/>
  <c r="C913" i="17"/>
  <c r="H912" i="17"/>
  <c r="C912" i="17"/>
  <c r="J911" i="17"/>
  <c r="K911" i="17" s="1"/>
  <c r="J910" i="17"/>
  <c r="K910" i="17" s="1"/>
  <c r="H910" i="17"/>
  <c r="H909" i="17"/>
  <c r="J908" i="17"/>
  <c r="H908" i="17"/>
  <c r="H907" i="17"/>
  <c r="C907" i="17"/>
  <c r="L906" i="17"/>
  <c r="H906" i="17"/>
  <c r="C906" i="17"/>
  <c r="L905" i="17"/>
  <c r="H905" i="17"/>
  <c r="C905" i="17"/>
  <c r="L904" i="17"/>
  <c r="H904" i="17"/>
  <c r="C904" i="17"/>
  <c r="L903" i="17"/>
  <c r="H903" i="17"/>
  <c r="H911" i="17" s="1"/>
  <c r="C903" i="17"/>
  <c r="L902" i="17"/>
  <c r="J901" i="17"/>
  <c r="K901" i="17" s="1"/>
  <c r="H901" i="17"/>
  <c r="H900" i="17"/>
  <c r="J899" i="17"/>
  <c r="K899" i="17" s="1"/>
  <c r="H899" i="17"/>
  <c r="H898" i="17"/>
  <c r="H897" i="17"/>
  <c r="H896" i="17"/>
  <c r="H895" i="17"/>
  <c r="H894" i="17"/>
  <c r="H902" i="17" s="1"/>
  <c r="J858" i="17"/>
  <c r="K858" i="17" s="1"/>
  <c r="J857" i="17"/>
  <c r="K857" i="17" s="1"/>
  <c r="H857" i="17"/>
  <c r="C857" i="17"/>
  <c r="H856" i="17"/>
  <c r="H855" i="17"/>
  <c r="K854" i="17"/>
  <c r="J854" i="17"/>
  <c r="H854" i="17"/>
  <c r="H853" i="17"/>
  <c r="C853" i="17"/>
  <c r="H852" i="17"/>
  <c r="C852" i="17"/>
  <c r="H851" i="17"/>
  <c r="C851" i="17"/>
  <c r="H850" i="17"/>
  <c r="H858" i="17" s="1"/>
  <c r="C850" i="17"/>
  <c r="J849" i="17"/>
  <c r="H848" i="17"/>
  <c r="H847" i="17"/>
  <c r="H846" i="17"/>
  <c r="H845" i="17"/>
  <c r="C845" i="17"/>
  <c r="H844" i="17"/>
  <c r="C844" i="17"/>
  <c r="H843" i="17"/>
  <c r="C843" i="17"/>
  <c r="H842" i="17"/>
  <c r="C842" i="17"/>
  <c r="H841" i="17"/>
  <c r="C841" i="17"/>
  <c r="H840" i="17"/>
  <c r="C840" i="17"/>
  <c r="H839" i="17"/>
  <c r="H849" i="17" s="1"/>
  <c r="K849" i="17" s="1"/>
  <c r="C839" i="17"/>
  <c r="J838" i="17"/>
  <c r="H836" i="17"/>
  <c r="I835" i="17"/>
  <c r="H835" i="17"/>
  <c r="J835" i="17" s="1"/>
  <c r="J834" i="17"/>
  <c r="H834" i="17"/>
  <c r="C834" i="17"/>
  <c r="H833" i="17"/>
  <c r="C833" i="17"/>
  <c r="H832" i="17"/>
  <c r="C832" i="17"/>
  <c r="H831" i="17"/>
  <c r="C831" i="17"/>
  <c r="H830" i="17"/>
  <c r="H838" i="17" s="1"/>
  <c r="C830" i="17"/>
  <c r="K829" i="17"/>
  <c r="J829" i="17"/>
  <c r="L828" i="17"/>
  <c r="K828" i="17"/>
  <c r="J828" i="17"/>
  <c r="H828" i="17"/>
  <c r="J827" i="17"/>
  <c r="H827" i="17"/>
  <c r="H826" i="17"/>
  <c r="C826" i="17"/>
  <c r="H825" i="17"/>
  <c r="J826" i="17" s="1"/>
  <c r="C825" i="17"/>
  <c r="L824" i="17"/>
  <c r="H824" i="17"/>
  <c r="C824" i="17"/>
  <c r="L823" i="17"/>
  <c r="H823" i="17"/>
  <c r="C823" i="17"/>
  <c r="L822" i="17"/>
  <c r="H822" i="17"/>
  <c r="C822" i="17"/>
  <c r="L821" i="17"/>
  <c r="H821" i="17"/>
  <c r="H829" i="17" s="1"/>
  <c r="K827" i="17" s="1"/>
  <c r="C821" i="17"/>
  <c r="L820" i="17"/>
  <c r="J819" i="17"/>
  <c r="K819" i="17" s="1"/>
  <c r="H819" i="17"/>
  <c r="J818" i="17"/>
  <c r="K818" i="17" s="1"/>
  <c r="M818" i="17" s="1"/>
  <c r="H818" i="17"/>
  <c r="H817" i="17"/>
  <c r="K816" i="17"/>
  <c r="J816" i="17"/>
  <c r="H816" i="17"/>
  <c r="N816" i="17" s="1"/>
  <c r="C816" i="17"/>
  <c r="H815" i="17"/>
  <c r="C815" i="17"/>
  <c r="H814" i="17"/>
  <c r="C814" i="17"/>
  <c r="H813" i="17"/>
  <c r="C813" i="17"/>
  <c r="H812" i="17"/>
  <c r="C812" i="17"/>
  <c r="H811" i="17"/>
  <c r="H820" i="17" s="1"/>
  <c r="L818" i="17" s="1"/>
  <c r="C811" i="17"/>
  <c r="J767" i="17"/>
  <c r="K767" i="17" s="1"/>
  <c r="J766" i="17"/>
  <c r="K766" i="17" s="1"/>
  <c r="H765" i="17"/>
  <c r="H764" i="17"/>
  <c r="K763" i="17"/>
  <c r="J763" i="17"/>
  <c r="H763" i="17"/>
  <c r="C763" i="17"/>
  <c r="H762" i="17"/>
  <c r="C762" i="17"/>
  <c r="H761" i="17"/>
  <c r="C761" i="17"/>
  <c r="H760" i="17"/>
  <c r="C760" i="17"/>
  <c r="H759" i="17"/>
  <c r="H767" i="17" s="1"/>
  <c r="C759" i="17"/>
  <c r="J758" i="17"/>
  <c r="H757" i="17"/>
  <c r="H756" i="17"/>
  <c r="H755" i="17"/>
  <c r="C755" i="17"/>
  <c r="H754" i="17"/>
  <c r="C754" i="17"/>
  <c r="H753" i="17"/>
  <c r="C753" i="17"/>
  <c r="H752" i="17"/>
  <c r="C752" i="17"/>
  <c r="H751" i="17"/>
  <c r="C751" i="17"/>
  <c r="H750" i="17"/>
  <c r="H758" i="17" s="1"/>
  <c r="K758" i="17" s="1"/>
  <c r="C750" i="17"/>
  <c r="J749" i="17"/>
  <c r="H748" i="17"/>
  <c r="J747" i="17"/>
  <c r="H747" i="17"/>
  <c r="H746" i="17"/>
  <c r="H745" i="17"/>
  <c r="H749" i="17" s="1"/>
  <c r="C745" i="17"/>
  <c r="J744" i="17"/>
  <c r="H744" i="17"/>
  <c r="C744" i="17"/>
  <c r="H743" i="17"/>
  <c r="I747" i="17" s="1"/>
  <c r="C743" i="17"/>
  <c r="H742" i="17"/>
  <c r="C742" i="17"/>
  <c r="H741" i="17"/>
  <c r="C741" i="17"/>
  <c r="H740" i="17"/>
  <c r="C740" i="17"/>
  <c r="K739" i="17"/>
  <c r="J739" i="17"/>
  <c r="L738" i="17"/>
  <c r="J738" i="17"/>
  <c r="K738" i="17" s="1"/>
  <c r="H738" i="17"/>
  <c r="J737" i="17"/>
  <c r="H737" i="17"/>
  <c r="H736" i="17"/>
  <c r="H735" i="17"/>
  <c r="C735" i="17"/>
  <c r="J734" i="17"/>
  <c r="H734" i="17"/>
  <c r="C734" i="17"/>
  <c r="H733" i="17"/>
  <c r="C733" i="17"/>
  <c r="L732" i="17"/>
  <c r="H732" i="17"/>
  <c r="C732" i="17"/>
  <c r="L731" i="17"/>
  <c r="H731" i="17"/>
  <c r="C731" i="17"/>
  <c r="L730" i="17"/>
  <c r="H730" i="17"/>
  <c r="H739" i="17" s="1"/>
  <c r="K737" i="17" s="1"/>
  <c r="L737" i="17" s="1"/>
  <c r="L739" i="17" s="1"/>
  <c r="C730" i="17"/>
  <c r="L729" i="17"/>
  <c r="H729" i="17"/>
  <c r="C729" i="17"/>
  <c r="L728" i="17"/>
  <c r="J727" i="17"/>
  <c r="K727" i="17" s="1"/>
  <c r="M727" i="17" s="1"/>
  <c r="H727" i="17"/>
  <c r="H726" i="17"/>
  <c r="K725" i="17"/>
  <c r="J725" i="17"/>
  <c r="H725" i="17"/>
  <c r="N725" i="17" s="1"/>
  <c r="C725" i="17"/>
  <c r="H724" i="17"/>
  <c r="C724" i="17"/>
  <c r="H723" i="17"/>
  <c r="C723" i="17"/>
  <c r="H722" i="17"/>
  <c r="C722" i="17"/>
  <c r="H721" i="17"/>
  <c r="C721" i="17"/>
  <c r="H720" i="17"/>
  <c r="H728" i="17" s="1"/>
  <c r="L727" i="17" s="1"/>
  <c r="C720" i="17"/>
  <c r="J704" i="17"/>
  <c r="K704" i="17" s="1"/>
  <c r="J703" i="17"/>
  <c r="K703" i="17" s="1"/>
  <c r="H703" i="17"/>
  <c r="H702" i="17"/>
  <c r="H701" i="17"/>
  <c r="K700" i="17"/>
  <c r="J700" i="17"/>
  <c r="H700" i="17"/>
  <c r="C700" i="17"/>
  <c r="H699" i="17"/>
  <c r="C699" i="17"/>
  <c r="H698" i="17"/>
  <c r="C698" i="17"/>
  <c r="H697" i="17"/>
  <c r="H704" i="17" s="1"/>
  <c r="C697" i="17"/>
  <c r="H696" i="17"/>
  <c r="C696" i="17"/>
  <c r="K695" i="17"/>
  <c r="J695" i="17"/>
  <c r="H693" i="17"/>
  <c r="H692" i="17"/>
  <c r="C692" i="17"/>
  <c r="H691" i="17"/>
  <c r="C691" i="17"/>
  <c r="H690" i="17"/>
  <c r="C690" i="17"/>
  <c r="H689" i="17"/>
  <c r="H695" i="17" s="1"/>
  <c r="C689" i="17"/>
  <c r="H688" i="17"/>
  <c r="C688" i="17"/>
  <c r="H687" i="17"/>
  <c r="C687" i="17"/>
  <c r="J686" i="17"/>
  <c r="K686" i="17" s="1"/>
  <c r="H685" i="17"/>
  <c r="J683" i="17"/>
  <c r="H683" i="17"/>
  <c r="H682" i="17"/>
  <c r="C682" i="17"/>
  <c r="H681" i="17"/>
  <c r="H686" i="17" s="1"/>
  <c r="C681" i="17"/>
  <c r="J680" i="17"/>
  <c r="K680" i="17" s="1"/>
  <c r="H680" i="17"/>
  <c r="C680" i="17"/>
  <c r="H679" i="17"/>
  <c r="C679" i="17"/>
  <c r="K678" i="17"/>
  <c r="J678" i="17"/>
  <c r="J677" i="17"/>
  <c r="H677" i="17"/>
  <c r="H676" i="17"/>
  <c r="J675" i="17"/>
  <c r="H675" i="17"/>
  <c r="C675" i="17"/>
  <c r="H674" i="17"/>
  <c r="C674" i="17"/>
  <c r="L673" i="17"/>
  <c r="H673" i="17"/>
  <c r="H678" i="17" s="1"/>
  <c r="C673" i="17"/>
  <c r="L672" i="17"/>
  <c r="H672" i="17"/>
  <c r="C672" i="17"/>
  <c r="L671" i="17"/>
  <c r="H671" i="17"/>
  <c r="C671" i="17"/>
  <c r="L670" i="17"/>
  <c r="H670" i="17"/>
  <c r="C670" i="17"/>
  <c r="L669" i="17"/>
  <c r="J668" i="17"/>
  <c r="K668" i="17" s="1"/>
  <c r="H668" i="17"/>
  <c r="U667" i="17"/>
  <c r="H667" i="17"/>
  <c r="H666" i="17"/>
  <c r="J665" i="17" s="1"/>
  <c r="I665" i="17"/>
  <c r="H665" i="17"/>
  <c r="C665" i="17"/>
  <c r="U664" i="17"/>
  <c r="P664" i="17"/>
  <c r="H664" i="17"/>
  <c r="C664" i="17"/>
  <c r="U663" i="17"/>
  <c r="P663" i="17"/>
  <c r="H663" i="17"/>
  <c r="C663" i="17"/>
  <c r="U662" i="17"/>
  <c r="P662" i="17"/>
  <c r="H662" i="17"/>
  <c r="C662" i="17"/>
  <c r="U661" i="17"/>
  <c r="P661" i="17"/>
  <c r="H661" i="17"/>
  <c r="C661" i="17"/>
  <c r="U660" i="17"/>
  <c r="P660" i="17"/>
  <c r="H660" i="17"/>
  <c r="C660" i="17"/>
  <c r="U659" i="17"/>
  <c r="P659" i="17"/>
  <c r="J644" i="17"/>
  <c r="K644" i="17" s="1"/>
  <c r="J643" i="17"/>
  <c r="K643" i="17" s="1"/>
  <c r="H643" i="17"/>
  <c r="H642" i="17"/>
  <c r="H641" i="17"/>
  <c r="K640" i="17"/>
  <c r="J640" i="17"/>
  <c r="H640" i="17"/>
  <c r="C640" i="17"/>
  <c r="H639" i="17"/>
  <c r="C639" i="17"/>
  <c r="H638" i="17"/>
  <c r="C638" i="17"/>
  <c r="H637" i="17"/>
  <c r="C637" i="17"/>
  <c r="H636" i="17"/>
  <c r="H644" i="17" s="1"/>
  <c r="C636" i="17"/>
  <c r="J635" i="17"/>
  <c r="H633" i="17"/>
  <c r="H632" i="17"/>
  <c r="C632" i="17"/>
  <c r="H631" i="17"/>
  <c r="C631" i="17"/>
  <c r="H630" i="17"/>
  <c r="C630" i="17"/>
  <c r="J629" i="17"/>
  <c r="H629" i="17"/>
  <c r="C629" i="17"/>
  <c r="H628" i="17"/>
  <c r="C628" i="17"/>
  <c r="H627" i="17"/>
  <c r="H635" i="17" s="1"/>
  <c r="K635" i="17" s="1"/>
  <c r="C627" i="17"/>
  <c r="J626" i="17"/>
  <c r="K626" i="17" s="1"/>
  <c r="L626" i="17" s="1"/>
  <c r="I625" i="17"/>
  <c r="H625" i="17"/>
  <c r="C625" i="17"/>
  <c r="H624" i="17"/>
  <c r="S623" i="17"/>
  <c r="N623" i="17"/>
  <c r="J623" i="17"/>
  <c r="H623" i="17"/>
  <c r="S622" i="17"/>
  <c r="N622" i="17"/>
  <c r="H622" i="17"/>
  <c r="C622" i="17"/>
  <c r="H621" i="17"/>
  <c r="C621" i="17"/>
  <c r="H620" i="17"/>
  <c r="K631" i="17" s="1"/>
  <c r="C620" i="17"/>
  <c r="J619" i="17"/>
  <c r="K619" i="17" s="1"/>
  <c r="H619" i="17"/>
  <c r="C619" i="17"/>
  <c r="H618" i="17"/>
  <c r="H626" i="17" s="1"/>
  <c r="C618" i="17"/>
  <c r="L617" i="17"/>
  <c r="J617" i="17"/>
  <c r="H616" i="17"/>
  <c r="J615" i="17"/>
  <c r="H615" i="17"/>
  <c r="C615" i="17"/>
  <c r="H614" i="17"/>
  <c r="C614" i="17"/>
  <c r="L613" i="17"/>
  <c r="H613" i="17"/>
  <c r="C613" i="17"/>
  <c r="L612" i="17"/>
  <c r="H612" i="17"/>
  <c r="C612" i="17"/>
  <c r="L611" i="17"/>
  <c r="H611" i="17"/>
  <c r="H617" i="17" s="1"/>
  <c r="C611" i="17"/>
  <c r="L610" i="17"/>
  <c r="H610" i="17"/>
  <c r="C610" i="17"/>
  <c r="L609" i="17"/>
  <c r="J608" i="17"/>
  <c r="K608" i="17" s="1"/>
  <c r="H608" i="17"/>
  <c r="U607" i="17"/>
  <c r="J607" i="17"/>
  <c r="I607" i="17"/>
  <c r="H607" i="17"/>
  <c r="H606" i="17"/>
  <c r="H605" i="17"/>
  <c r="C605" i="17"/>
  <c r="U604" i="17"/>
  <c r="P604" i="17"/>
  <c r="H604" i="17"/>
  <c r="C604" i="17"/>
  <c r="U603" i="17"/>
  <c r="P603" i="17"/>
  <c r="H603" i="17"/>
  <c r="C603" i="17"/>
  <c r="U602" i="17"/>
  <c r="P602" i="17"/>
  <c r="H602" i="17"/>
  <c r="C602" i="17"/>
  <c r="U601" i="17"/>
  <c r="P601" i="17"/>
  <c r="H601" i="17"/>
  <c r="C601" i="17"/>
  <c r="U600" i="17"/>
  <c r="P600" i="17"/>
  <c r="H600" i="17"/>
  <c r="H609" i="17" s="1"/>
  <c r="C600" i="17"/>
  <c r="U599" i="17"/>
  <c r="P599" i="17"/>
  <c r="M568" i="17"/>
  <c r="L568" i="17"/>
  <c r="H567" i="17"/>
  <c r="J566" i="17"/>
  <c r="H566" i="17"/>
  <c r="H565" i="17"/>
  <c r="H564" i="17"/>
  <c r="C564" i="17"/>
  <c r="J563" i="17"/>
  <c r="H563" i="17"/>
  <c r="C563" i="17"/>
  <c r="H562" i="17"/>
  <c r="H569" i="17" s="1"/>
  <c r="C562" i="17"/>
  <c r="H559" i="17"/>
  <c r="H558" i="17"/>
  <c r="I557" i="17"/>
  <c r="H557" i="17"/>
  <c r="H561" i="17" s="1"/>
  <c r="H556" i="17"/>
  <c r="H555" i="17"/>
  <c r="M553" i="17"/>
  <c r="L553" i="17"/>
  <c r="I552" i="17"/>
  <c r="H552" i="17"/>
  <c r="H551" i="17"/>
  <c r="H550" i="17"/>
  <c r="H549" i="17"/>
  <c r="H548" i="17"/>
  <c r="H547" i="17"/>
  <c r="C547" i="17"/>
  <c r="J546" i="17"/>
  <c r="H546" i="17"/>
  <c r="C546" i="17"/>
  <c r="H545" i="17"/>
  <c r="H554" i="17" s="1"/>
  <c r="C545" i="17"/>
  <c r="L544" i="17"/>
  <c r="M543" i="17"/>
  <c r="L543" i="17"/>
  <c r="H543" i="17"/>
  <c r="H542" i="17"/>
  <c r="H544" i="17" s="1"/>
  <c r="I540" i="17" s="1"/>
  <c r="H541" i="17"/>
  <c r="H540" i="17"/>
  <c r="L539" i="17"/>
  <c r="I539" i="17"/>
  <c r="H539" i="17"/>
  <c r="C539" i="17"/>
  <c r="T538" i="17"/>
  <c r="L538" i="17"/>
  <c r="H538" i="17"/>
  <c r="C538" i="17"/>
  <c r="T537" i="17"/>
  <c r="O537" i="17"/>
  <c r="L537" i="17"/>
  <c r="H537" i="17"/>
  <c r="C537" i="17"/>
  <c r="T536" i="17"/>
  <c r="O536" i="17"/>
  <c r="H536" i="17"/>
  <c r="C536" i="17"/>
  <c r="T535" i="17"/>
  <c r="O535" i="17"/>
  <c r="H535" i="17"/>
  <c r="C535" i="17"/>
  <c r="T534" i="17"/>
  <c r="O534" i="17"/>
  <c r="K534" i="17"/>
  <c r="M485" i="17"/>
  <c r="L485" i="17"/>
  <c r="H484" i="17"/>
  <c r="H483" i="17"/>
  <c r="J482" i="17"/>
  <c r="H482" i="17"/>
  <c r="C482" i="17"/>
  <c r="H481" i="17"/>
  <c r="C481" i="17"/>
  <c r="H480" i="17"/>
  <c r="C480" i="17"/>
  <c r="J479" i="17"/>
  <c r="H479" i="17"/>
  <c r="C479" i="17"/>
  <c r="H478" i="17"/>
  <c r="H486" i="17" s="1"/>
  <c r="J486" i="17" s="1"/>
  <c r="C478" i="17"/>
  <c r="H476" i="17"/>
  <c r="H475" i="17"/>
  <c r="H474" i="17"/>
  <c r="H473" i="17"/>
  <c r="H477" i="17" s="1"/>
  <c r="H472" i="17"/>
  <c r="C472" i="17"/>
  <c r="H471" i="17"/>
  <c r="C471" i="17"/>
  <c r="H470" i="17"/>
  <c r="C470" i="17"/>
  <c r="H469" i="17"/>
  <c r="C469" i="17"/>
  <c r="H468" i="17"/>
  <c r="C468" i="17"/>
  <c r="H467" i="17"/>
  <c r="C467" i="17"/>
  <c r="H465" i="17"/>
  <c r="H464" i="17"/>
  <c r="H463" i="17"/>
  <c r="H462" i="17"/>
  <c r="H461" i="17"/>
  <c r="C461" i="17"/>
  <c r="I460" i="17"/>
  <c r="H460" i="17"/>
  <c r="C460" i="17"/>
  <c r="H459" i="17"/>
  <c r="C459" i="17"/>
  <c r="H458" i="17"/>
  <c r="C458" i="17"/>
  <c r="M456" i="17"/>
  <c r="L456" i="17"/>
  <c r="H456" i="17"/>
  <c r="J460" i="17" s="1"/>
  <c r="I455" i="17"/>
  <c r="H455" i="17"/>
  <c r="H454" i="17"/>
  <c r="H453" i="17"/>
  <c r="H452" i="17"/>
  <c r="H451" i="17"/>
  <c r="H450" i="17"/>
  <c r="C450" i="17"/>
  <c r="J449" i="17"/>
  <c r="H449" i="17"/>
  <c r="C449" i="17"/>
  <c r="H448" i="17"/>
  <c r="C448" i="17"/>
  <c r="L447" i="17"/>
  <c r="M446" i="17"/>
  <c r="L446" i="17"/>
  <c r="H445" i="17"/>
  <c r="H444" i="17"/>
  <c r="H443" i="17"/>
  <c r="H442" i="17"/>
  <c r="L441" i="17"/>
  <c r="I441" i="17"/>
  <c r="H441" i="17"/>
  <c r="C441" i="17"/>
  <c r="T440" i="17"/>
  <c r="L440" i="17"/>
  <c r="H440" i="17"/>
  <c r="C440" i="17"/>
  <c r="T439" i="17"/>
  <c r="O439" i="17"/>
  <c r="L439" i="17"/>
  <c r="H439" i="17"/>
  <c r="C439" i="17"/>
  <c r="T438" i="17"/>
  <c r="O438" i="17"/>
  <c r="I438" i="17"/>
  <c r="H438" i="17"/>
  <c r="C438" i="17"/>
  <c r="T437" i="17"/>
  <c r="O437" i="17"/>
  <c r="H437" i="17"/>
  <c r="C437" i="17"/>
  <c r="T436" i="17"/>
  <c r="O436" i="17"/>
  <c r="K436" i="17"/>
  <c r="I434" i="17"/>
  <c r="M390" i="17"/>
  <c r="L390" i="17"/>
  <c r="H390" i="17"/>
  <c r="I389" i="17"/>
  <c r="H389" i="17"/>
  <c r="H388" i="17"/>
  <c r="H387" i="17"/>
  <c r="H386" i="17"/>
  <c r="H385" i="17"/>
  <c r="I384" i="17"/>
  <c r="H384" i="17"/>
  <c r="C384" i="17"/>
  <c r="J383" i="17"/>
  <c r="H383" i="17"/>
  <c r="C383" i="17"/>
  <c r="I382" i="17"/>
  <c r="H382" i="17"/>
  <c r="C382" i="17"/>
  <c r="I380" i="17"/>
  <c r="M335" i="17"/>
  <c r="L335" i="17"/>
  <c r="H335" i="17"/>
  <c r="H334" i="17"/>
  <c r="H333" i="17"/>
  <c r="H332" i="17"/>
  <c r="H331" i="17"/>
  <c r="H330" i="17"/>
  <c r="C330" i="17"/>
  <c r="J329" i="17"/>
  <c r="H329" i="17"/>
  <c r="C329" i="17"/>
  <c r="H328" i="17"/>
  <c r="C328" i="17"/>
  <c r="H327" i="17"/>
  <c r="C327" i="17"/>
  <c r="H325" i="17"/>
  <c r="H324" i="17"/>
  <c r="H323" i="17"/>
  <c r="H322" i="17"/>
  <c r="H321" i="17"/>
  <c r="C321" i="17"/>
  <c r="H320" i="17"/>
  <c r="C320" i="17"/>
  <c r="I319" i="17"/>
  <c r="H319" i="17"/>
  <c r="C319" i="17"/>
  <c r="H318" i="17"/>
  <c r="C318" i="17"/>
  <c r="H317" i="17"/>
  <c r="C317" i="17"/>
  <c r="H316" i="17"/>
  <c r="H326" i="17" s="1"/>
  <c r="I322" i="17" s="1"/>
  <c r="C316" i="17"/>
  <c r="H314" i="17"/>
  <c r="H313" i="17"/>
  <c r="H312" i="17"/>
  <c r="H311" i="17"/>
  <c r="C311" i="17"/>
  <c r="H310" i="17"/>
  <c r="C310" i="17"/>
  <c r="I309" i="17"/>
  <c r="H309" i="17"/>
  <c r="C309" i="17"/>
  <c r="H308" i="17"/>
  <c r="C308" i="17"/>
  <c r="H307" i="17"/>
  <c r="H315" i="17" s="1"/>
  <c r="I315" i="17" s="1"/>
  <c r="C307" i="17"/>
  <c r="M305" i="17"/>
  <c r="L305" i="17"/>
  <c r="H305" i="17"/>
  <c r="J309" i="17" s="1"/>
  <c r="H304" i="17"/>
  <c r="H303" i="17"/>
  <c r="H302" i="17"/>
  <c r="H301" i="17"/>
  <c r="H300" i="17"/>
  <c r="H299" i="17"/>
  <c r="C299" i="17"/>
  <c r="J298" i="17"/>
  <c r="I298" i="17"/>
  <c r="H298" i="17"/>
  <c r="C298" i="17"/>
  <c r="H297" i="17"/>
  <c r="C297" i="17"/>
  <c r="L296" i="17"/>
  <c r="M295" i="17"/>
  <c r="L295" i="17"/>
  <c r="H295" i="17"/>
  <c r="H294" i="17"/>
  <c r="H293" i="17"/>
  <c r="H292" i="17"/>
  <c r="H291" i="17"/>
  <c r="L290" i="17"/>
  <c r="I290" i="17"/>
  <c r="H290" i="17"/>
  <c r="C290" i="17"/>
  <c r="T289" i="17"/>
  <c r="L289" i="17"/>
  <c r="H289" i="17"/>
  <c r="C289" i="17"/>
  <c r="T288" i="17"/>
  <c r="O288" i="17"/>
  <c r="L288" i="17"/>
  <c r="H288" i="17"/>
  <c r="C288" i="17"/>
  <c r="T287" i="17"/>
  <c r="O287" i="17"/>
  <c r="I287" i="17"/>
  <c r="H287" i="17"/>
  <c r="C287" i="17"/>
  <c r="T286" i="17"/>
  <c r="O286" i="17"/>
  <c r="H286" i="17"/>
  <c r="C286" i="17"/>
  <c r="T285" i="17"/>
  <c r="O285" i="17"/>
  <c r="K285" i="17"/>
  <c r="I283" i="17"/>
  <c r="M234" i="17"/>
  <c r="L234" i="17"/>
  <c r="H234" i="17"/>
  <c r="H233" i="17"/>
  <c r="H232" i="17"/>
  <c r="H231" i="17"/>
  <c r="H230" i="17"/>
  <c r="H229" i="17"/>
  <c r="H228" i="17"/>
  <c r="C228" i="17"/>
  <c r="J227" i="17"/>
  <c r="H227" i="17"/>
  <c r="C227" i="17"/>
  <c r="H226" i="17"/>
  <c r="C226" i="17"/>
  <c r="I225" i="17"/>
  <c r="H225" i="17"/>
  <c r="H235" i="17" s="1"/>
  <c r="J235" i="17" s="1"/>
  <c r="C225" i="17"/>
  <c r="H223" i="17"/>
  <c r="H222" i="17"/>
  <c r="H221" i="17"/>
  <c r="H220" i="17"/>
  <c r="C220" i="17"/>
  <c r="I219" i="17"/>
  <c r="I224" i="17" s="1"/>
  <c r="H219" i="17"/>
  <c r="C219" i="17"/>
  <c r="H218" i="17"/>
  <c r="C218" i="17"/>
  <c r="J217" i="17"/>
  <c r="H217" i="17"/>
  <c r="C217" i="17"/>
  <c r="H216" i="17"/>
  <c r="H224" i="17" s="1"/>
  <c r="I222" i="17" s="1"/>
  <c r="C216" i="17"/>
  <c r="H214" i="17"/>
  <c r="H213" i="17"/>
  <c r="I212" i="17"/>
  <c r="H212" i="17"/>
  <c r="H211" i="17"/>
  <c r="C211" i="17"/>
  <c r="H210" i="17"/>
  <c r="C210" i="17"/>
  <c r="J209" i="17"/>
  <c r="I209" i="17"/>
  <c r="H209" i="17"/>
  <c r="C209" i="17"/>
  <c r="H208" i="17"/>
  <c r="C208" i="17"/>
  <c r="H207" i="17"/>
  <c r="H215" i="17" s="1"/>
  <c r="I215" i="17" s="1"/>
  <c r="C207" i="17"/>
  <c r="H205" i="17"/>
  <c r="H204" i="17"/>
  <c r="H203" i="17"/>
  <c r="H202" i="17"/>
  <c r="H201" i="17"/>
  <c r="C201" i="17"/>
  <c r="H200" i="17"/>
  <c r="C200" i="17"/>
  <c r="H199" i="17"/>
  <c r="C199" i="17"/>
  <c r="H198" i="17"/>
  <c r="C198" i="17"/>
  <c r="J197" i="17"/>
  <c r="I197" i="17"/>
  <c r="H197" i="17"/>
  <c r="C197" i="17"/>
  <c r="H196" i="17"/>
  <c r="H206" i="17" s="1"/>
  <c r="I205" i="17" s="1"/>
  <c r="C196" i="17"/>
  <c r="L195" i="17"/>
  <c r="H194" i="17"/>
  <c r="H193" i="17"/>
  <c r="H192" i="17"/>
  <c r="H191" i="17"/>
  <c r="L190" i="17"/>
  <c r="I190" i="17"/>
  <c r="H190" i="17"/>
  <c r="H195" i="17" s="1"/>
  <c r="T189" i="17"/>
  <c r="L189" i="17"/>
  <c r="H189" i="17"/>
  <c r="T188" i="17"/>
  <c r="O188" i="17"/>
  <c r="L188" i="17"/>
  <c r="H188" i="17"/>
  <c r="C188" i="17"/>
  <c r="T187" i="17"/>
  <c r="O187" i="17"/>
  <c r="I187" i="17"/>
  <c r="H187" i="17"/>
  <c r="C187" i="17"/>
  <c r="T186" i="17"/>
  <c r="O186" i="17"/>
  <c r="H186" i="17"/>
  <c r="C186" i="17"/>
  <c r="T185" i="17"/>
  <c r="O185" i="17"/>
  <c r="K185" i="17"/>
  <c r="I183" i="17"/>
  <c r="H143" i="17"/>
  <c r="H142" i="17"/>
  <c r="H141" i="17"/>
  <c r="H140" i="17"/>
  <c r="H139" i="17"/>
  <c r="H138" i="17"/>
  <c r="H137" i="17"/>
  <c r="C137" i="17"/>
  <c r="J136" i="17"/>
  <c r="H136" i="17"/>
  <c r="C136" i="17"/>
  <c r="H135" i="17"/>
  <c r="C135" i="17"/>
  <c r="I134" i="17"/>
  <c r="H134" i="17"/>
  <c r="H144" i="17" s="1"/>
  <c r="J144" i="17" s="1"/>
  <c r="C134" i="17"/>
  <c r="Q133" i="17"/>
  <c r="Q132" i="17"/>
  <c r="L132" i="17"/>
  <c r="H132" i="17"/>
  <c r="Q131" i="17"/>
  <c r="L131" i="17"/>
  <c r="H131" i="17"/>
  <c r="Q130" i="17"/>
  <c r="L130" i="17"/>
  <c r="H130" i="17"/>
  <c r="Q129" i="17"/>
  <c r="L129" i="17"/>
  <c r="H129" i="17"/>
  <c r="Q128" i="17"/>
  <c r="L128" i="17"/>
  <c r="I128" i="17"/>
  <c r="H128" i="17"/>
  <c r="C128" i="17"/>
  <c r="H127" i="17"/>
  <c r="C127" i="17"/>
  <c r="J126" i="17"/>
  <c r="H126" i="17"/>
  <c r="C126" i="17"/>
  <c r="H125" i="17"/>
  <c r="H133" i="17" s="1"/>
  <c r="I131" i="17" s="1"/>
  <c r="C125" i="17"/>
  <c r="H123" i="17"/>
  <c r="I122" i="17"/>
  <c r="H122" i="17"/>
  <c r="H121" i="17"/>
  <c r="H120" i="17"/>
  <c r="H119" i="17"/>
  <c r="J118" i="17"/>
  <c r="I118" i="17"/>
  <c r="H118" i="17"/>
  <c r="C118" i="17"/>
  <c r="H117" i="17"/>
  <c r="C117" i="17"/>
  <c r="H116" i="17"/>
  <c r="H124" i="17" s="1"/>
  <c r="I124" i="17" s="1"/>
  <c r="C116" i="17"/>
  <c r="H114" i="17"/>
  <c r="H113" i="17"/>
  <c r="H112" i="17"/>
  <c r="H111" i="17"/>
  <c r="C111" i="17"/>
  <c r="H110" i="17"/>
  <c r="C110" i="17"/>
  <c r="H109" i="17"/>
  <c r="C109" i="17"/>
  <c r="J108" i="17"/>
  <c r="I108" i="17"/>
  <c r="H108" i="17"/>
  <c r="C108" i="17"/>
  <c r="H107" i="17"/>
  <c r="C107" i="17"/>
  <c r="L106" i="17"/>
  <c r="H105" i="17"/>
  <c r="H104" i="17"/>
  <c r="H103" i="17"/>
  <c r="H102" i="17"/>
  <c r="L101" i="17"/>
  <c r="I101" i="17"/>
  <c r="H101" i="17"/>
  <c r="T100" i="17"/>
  <c r="L100" i="17"/>
  <c r="H100" i="17"/>
  <c r="T99" i="17"/>
  <c r="O99" i="17"/>
  <c r="L99" i="17"/>
  <c r="H99" i="17"/>
  <c r="H106" i="17" s="1"/>
  <c r="C99" i="17"/>
  <c r="T98" i="17"/>
  <c r="O98" i="17"/>
  <c r="I98" i="17"/>
  <c r="I99" i="17" s="1"/>
  <c r="H98" i="17"/>
  <c r="C98" i="17"/>
  <c r="T97" i="17"/>
  <c r="O97" i="17"/>
  <c r="H97" i="17"/>
  <c r="C97" i="17"/>
  <c r="T96" i="17"/>
  <c r="O96" i="17"/>
  <c r="K96" i="17"/>
  <c r="I94" i="17"/>
  <c r="H54" i="17"/>
  <c r="H53" i="17"/>
  <c r="H52" i="17"/>
  <c r="H51" i="17"/>
  <c r="C51" i="17"/>
  <c r="H50" i="17"/>
  <c r="C50" i="17"/>
  <c r="H49" i="17"/>
  <c r="C49" i="17"/>
  <c r="H48" i="17"/>
  <c r="C48" i="17"/>
  <c r="J47" i="17"/>
  <c r="H47" i="17"/>
  <c r="C47" i="17"/>
  <c r="H46" i="17"/>
  <c r="H55" i="17" s="1"/>
  <c r="C46" i="17"/>
  <c r="Q45" i="17"/>
  <c r="H44" i="17"/>
  <c r="H43" i="17"/>
  <c r="Q42" i="17"/>
  <c r="L42" i="17"/>
  <c r="H42" i="17"/>
  <c r="Q41" i="17"/>
  <c r="L41" i="17"/>
  <c r="H41" i="17"/>
  <c r="Q40" i="17"/>
  <c r="L40" i="17"/>
  <c r="H40" i="17"/>
  <c r="Q39" i="17"/>
  <c r="L39" i="17"/>
  <c r="H39" i="17"/>
  <c r="Q38" i="17"/>
  <c r="L38" i="17"/>
  <c r="I38" i="17"/>
  <c r="H38" i="17"/>
  <c r="C38" i="17"/>
  <c r="H37" i="17"/>
  <c r="C37" i="17"/>
  <c r="J36" i="17"/>
  <c r="H36" i="17"/>
  <c r="C36" i="17"/>
  <c r="H35" i="17"/>
  <c r="C35" i="17"/>
  <c r="H33" i="17"/>
  <c r="H32" i="17"/>
  <c r="I31" i="17"/>
  <c r="H31" i="17"/>
  <c r="H30" i="17"/>
  <c r="H29" i="17"/>
  <c r="H28" i="17"/>
  <c r="H27" i="17"/>
  <c r="J26" i="17"/>
  <c r="I26" i="17"/>
  <c r="H26" i="17"/>
  <c r="C26" i="17"/>
  <c r="H25" i="17"/>
  <c r="C25" i="17"/>
  <c r="H24" i="17"/>
  <c r="H34" i="17" s="1"/>
  <c r="I34" i="17" s="1"/>
  <c r="C24" i="17"/>
  <c r="H22" i="17"/>
  <c r="H21" i="17"/>
  <c r="H20" i="17"/>
  <c r="H19" i="17"/>
  <c r="H18" i="17"/>
  <c r="H17" i="17"/>
  <c r="H16" i="17"/>
  <c r="C16" i="17"/>
  <c r="J15" i="17"/>
  <c r="I15" i="17"/>
  <c r="H15" i="17"/>
  <c r="C15" i="17"/>
  <c r="H14" i="17"/>
  <c r="C14" i="17"/>
  <c r="L13" i="17"/>
  <c r="H12" i="17"/>
  <c r="H11" i="17"/>
  <c r="H10" i="17"/>
  <c r="H13" i="17" s="1"/>
  <c r="L9" i="17"/>
  <c r="I9" i="17"/>
  <c r="H9" i="17"/>
  <c r="C9" i="17"/>
  <c r="T8" i="17"/>
  <c r="L8" i="17"/>
  <c r="H8" i="17"/>
  <c r="C8" i="17"/>
  <c r="T7" i="17"/>
  <c r="O7" i="17"/>
  <c r="L7" i="17"/>
  <c r="H7" i="17"/>
  <c r="C7" i="17"/>
  <c r="T6" i="17"/>
  <c r="O6" i="17"/>
  <c r="I6" i="17"/>
  <c r="H6" i="17"/>
  <c r="C6" i="17"/>
  <c r="T5" i="17"/>
  <c r="O5" i="17"/>
  <c r="H5" i="17"/>
  <c r="C5" i="17"/>
  <c r="T4" i="17"/>
  <c r="O4" i="17"/>
  <c r="K4" i="17"/>
  <c r="I2" i="17"/>
  <c r="I375" i="16"/>
  <c r="I353" i="16"/>
  <c r="J352" i="16"/>
  <c r="J351" i="16"/>
  <c r="J350" i="16"/>
  <c r="J349" i="16"/>
  <c r="J348" i="16"/>
  <c r="I346" i="16"/>
  <c r="K687" i="17" l="1"/>
  <c r="K1062" i="17"/>
  <c r="L686" i="17"/>
  <c r="L970" i="17"/>
  <c r="L979" i="17"/>
  <c r="K627" i="17"/>
  <c r="L695" i="17"/>
  <c r="K921" i="17"/>
  <c r="L1001" i="17"/>
  <c r="K1077" i="17"/>
  <c r="I14" i="17"/>
  <c r="I13" i="17"/>
  <c r="I10" i="17"/>
  <c r="I7" i="17"/>
  <c r="I196" i="17"/>
  <c r="I191" i="17"/>
  <c r="I478" i="17"/>
  <c r="I477" i="17"/>
  <c r="I326" i="17"/>
  <c r="I466" i="17"/>
  <c r="K607" i="17"/>
  <c r="M608" i="17"/>
  <c r="L608" i="17"/>
  <c r="M854" i="17"/>
  <c r="M856" i="17" s="1"/>
  <c r="H45" i="17"/>
  <c r="I41" i="17" s="1"/>
  <c r="I107" i="17"/>
  <c r="I102" i="17"/>
  <c r="H115" i="17"/>
  <c r="I115" i="17" s="1"/>
  <c r="I235" i="17"/>
  <c r="H306" i="17"/>
  <c r="L619" i="17"/>
  <c r="K617" i="17"/>
  <c r="L680" i="17"/>
  <c r="K677" i="17"/>
  <c r="K696" i="17"/>
  <c r="L700" i="17"/>
  <c r="M700" i="17" s="1"/>
  <c r="M702" i="17" s="1"/>
  <c r="K701" i="17"/>
  <c r="K759" i="17"/>
  <c r="L758" i="17"/>
  <c r="K850" i="17"/>
  <c r="L849" i="17"/>
  <c r="L989" i="17"/>
  <c r="J55" i="17"/>
  <c r="I55" i="17"/>
  <c r="K636" i="17"/>
  <c r="L635" i="17"/>
  <c r="K932" i="17"/>
  <c r="H23" i="17"/>
  <c r="I23" i="17" s="1"/>
  <c r="I133" i="17"/>
  <c r="I188" i="17"/>
  <c r="I206" i="17"/>
  <c r="H336" i="17"/>
  <c r="J336" i="17" s="1"/>
  <c r="H447" i="17"/>
  <c r="L677" i="17"/>
  <c r="L678" i="17" s="1"/>
  <c r="K749" i="17"/>
  <c r="K750" i="17"/>
  <c r="L827" i="17"/>
  <c r="L829" i="17" s="1"/>
  <c r="K838" i="17"/>
  <c r="L838" i="17" s="1"/>
  <c r="K900" i="17"/>
  <c r="K1072" i="17"/>
  <c r="I199" i="17"/>
  <c r="I300" i="17"/>
  <c r="L763" i="17"/>
  <c r="M763" i="17" s="1"/>
  <c r="M765" i="17" s="1"/>
  <c r="K764" i="17"/>
  <c r="I144" i="17"/>
  <c r="H296" i="17"/>
  <c r="I288" i="17" s="1"/>
  <c r="H391" i="17"/>
  <c r="I391" i="17" s="1"/>
  <c r="I392" i="17" s="1"/>
  <c r="H457" i="17"/>
  <c r="I457" i="17" s="1"/>
  <c r="H466" i="17"/>
  <c r="L640" i="17"/>
  <c r="M640" i="17" s="1"/>
  <c r="M642" i="17" s="1"/>
  <c r="K641" i="17"/>
  <c r="L749" i="17"/>
  <c r="L854" i="17"/>
  <c r="K855" i="17"/>
  <c r="K1040" i="17"/>
  <c r="H669" i="17"/>
  <c r="J1057" i="17"/>
  <c r="H399" i="16"/>
  <c r="I385" i="16"/>
  <c r="I378" i="16"/>
  <c r="I367" i="16"/>
  <c r="I17" i="17" l="1"/>
  <c r="I327" i="17"/>
  <c r="K839" i="17"/>
  <c r="I306" i="17"/>
  <c r="I304" i="17"/>
  <c r="M668" i="17"/>
  <c r="L668" i="17"/>
  <c r="I291" i="17"/>
  <c r="I297" i="17"/>
  <c r="I448" i="17"/>
  <c r="I442" i="17"/>
  <c r="I45" i="17"/>
  <c r="I110" i="17"/>
  <c r="I399" i="16"/>
  <c r="I389" i="16"/>
  <c r="I351" i="16"/>
  <c r="I359" i="16"/>
  <c r="I354" i="16"/>
  <c r="I362" i="16"/>
  <c r="H226" i="15" l="1"/>
  <c r="H225" i="15"/>
  <c r="H224" i="15"/>
  <c r="H223" i="15"/>
  <c r="C223" i="15"/>
  <c r="H222" i="15"/>
  <c r="C222" i="15"/>
  <c r="H221" i="15"/>
  <c r="C221" i="15"/>
  <c r="H218" i="15"/>
  <c r="H217" i="15"/>
  <c r="H216" i="15"/>
  <c r="H215" i="15"/>
  <c r="H214" i="15"/>
  <c r="H202" i="15"/>
  <c r="H201" i="15"/>
  <c r="H200" i="15"/>
  <c r="C200" i="15"/>
  <c r="H199" i="15"/>
  <c r="C199" i="15"/>
  <c r="H198" i="15"/>
  <c r="C198" i="15"/>
  <c r="H197" i="15"/>
  <c r="C197" i="15"/>
  <c r="H196" i="15"/>
  <c r="C196" i="15"/>
  <c r="H194" i="15"/>
  <c r="H193" i="15"/>
  <c r="H192" i="15"/>
  <c r="H191" i="15"/>
  <c r="H190" i="15"/>
  <c r="C190" i="15"/>
  <c r="H189" i="15"/>
  <c r="C189" i="15"/>
  <c r="H188" i="15"/>
  <c r="C188" i="15"/>
  <c r="H187" i="15"/>
  <c r="C187" i="15"/>
  <c r="H186" i="15"/>
  <c r="C186" i="15"/>
  <c r="H185" i="15"/>
  <c r="C185" i="15"/>
  <c r="H183" i="15"/>
  <c r="H182" i="15"/>
  <c r="H181" i="15"/>
  <c r="H180" i="15"/>
  <c r="H179" i="15"/>
  <c r="C179" i="15"/>
  <c r="H178" i="15"/>
  <c r="C178" i="15"/>
  <c r="H177" i="15"/>
  <c r="C177" i="15"/>
  <c r="H176" i="15"/>
  <c r="C176" i="15"/>
  <c r="H174" i="15"/>
  <c r="H173" i="15"/>
  <c r="H172" i="15"/>
  <c r="H171" i="15"/>
  <c r="H170" i="15"/>
  <c r="H169" i="15"/>
  <c r="H168" i="15"/>
  <c r="C168" i="15"/>
  <c r="H167" i="15"/>
  <c r="C167" i="15"/>
  <c r="H166" i="15"/>
  <c r="C166" i="15"/>
  <c r="H163" i="15"/>
  <c r="H162" i="15"/>
  <c r="H161" i="15"/>
  <c r="H160" i="15"/>
  <c r="H159" i="15"/>
  <c r="C159" i="15"/>
  <c r="H158" i="15"/>
  <c r="C158" i="15"/>
  <c r="H157" i="15"/>
  <c r="C157" i="15"/>
  <c r="H156" i="15"/>
  <c r="C156" i="15"/>
  <c r="H155" i="15"/>
  <c r="C155" i="15"/>
  <c r="H108" i="15"/>
  <c r="H107" i="15"/>
  <c r="H106" i="15"/>
  <c r="H105" i="15"/>
  <c r="H104" i="15"/>
  <c r="H103" i="15"/>
  <c r="H102" i="15"/>
  <c r="C102" i="15"/>
  <c r="H101" i="15"/>
  <c r="C101" i="15"/>
  <c r="H100" i="15"/>
  <c r="C100" i="15"/>
  <c r="H53" i="15"/>
  <c r="H52" i="15"/>
  <c r="H51" i="15"/>
  <c r="H50" i="15"/>
  <c r="C50" i="15"/>
  <c r="H49" i="15"/>
  <c r="C49" i="15"/>
  <c r="H48" i="15"/>
  <c r="C48" i="15"/>
  <c r="H47" i="15"/>
  <c r="C47" i="15"/>
  <c r="H46" i="15"/>
  <c r="C46" i="15"/>
  <c r="H44" i="15"/>
  <c r="H43" i="15"/>
  <c r="H42" i="15"/>
  <c r="H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3" i="15"/>
  <c r="H32" i="15"/>
  <c r="H31" i="15"/>
  <c r="H30" i="15"/>
  <c r="H29" i="15"/>
  <c r="C29" i="15"/>
  <c r="H28" i="15"/>
  <c r="C28" i="15"/>
  <c r="H27" i="15"/>
  <c r="C27" i="15"/>
  <c r="H26" i="15"/>
  <c r="C26" i="15"/>
  <c r="H24" i="15"/>
  <c r="H23" i="15"/>
  <c r="H22" i="15"/>
  <c r="H21" i="15"/>
  <c r="H20" i="15"/>
  <c r="H19" i="15"/>
  <c r="H18" i="15"/>
  <c r="C18" i="15"/>
  <c r="H17" i="15"/>
  <c r="C17" i="15"/>
  <c r="H16" i="15"/>
  <c r="C16" i="15"/>
  <c r="H14" i="15"/>
  <c r="H13" i="15"/>
  <c r="H12" i="15"/>
  <c r="H11" i="15"/>
  <c r="H10" i="15"/>
  <c r="H9" i="15"/>
  <c r="C9" i="15"/>
  <c r="H8" i="15"/>
  <c r="C8" i="15"/>
  <c r="H7" i="15"/>
  <c r="C7" i="15"/>
  <c r="H6" i="15"/>
  <c r="C6" i="15"/>
  <c r="H5" i="15"/>
  <c r="C5" i="15"/>
  <c r="H15" i="15" l="1"/>
  <c r="H109" i="15"/>
  <c r="H165" i="15"/>
  <c r="H184" i="15"/>
  <c r="H195" i="15"/>
  <c r="H220" i="15"/>
  <c r="H228" i="15"/>
  <c r="H175" i="15"/>
  <c r="H204" i="15"/>
  <c r="H25" i="15"/>
  <c r="H34" i="15"/>
  <c r="H45" i="15"/>
  <c r="H54" i="15"/>
</calcChain>
</file>

<file path=xl/sharedStrings.xml><?xml version="1.0" encoding="utf-8"?>
<sst xmlns="http://schemas.openxmlformats.org/spreadsheetml/2006/main" count="3750" uniqueCount="307">
  <si>
    <t>TRƯỜNG TIỂU HỌC QUANG MINH</t>
  </si>
  <si>
    <t>Kg</t>
  </si>
  <si>
    <t>gủi nhờ  in hóa đơn không xuất kho</t>
  </si>
  <si>
    <t>Cái</t>
  </si>
  <si>
    <t>kg</t>
  </si>
  <si>
    <t>ĐVT</t>
  </si>
  <si>
    <t xml:space="preserve">Thịt xay </t>
  </si>
  <si>
    <t xml:space="preserve">Đậu rán </t>
  </si>
  <si>
    <t>Dầu hào Magi</t>
  </si>
  <si>
    <t xml:space="preserve">Bột chiên giòn </t>
  </si>
  <si>
    <t>Cá rô phi phi lê</t>
  </si>
  <si>
    <t xml:space="preserve">Gạo BC chuẩn </t>
  </si>
  <si>
    <t>Hành khô</t>
  </si>
  <si>
    <t xml:space="preserve">Tép </t>
  </si>
  <si>
    <t>Rau mồng tơi</t>
  </si>
  <si>
    <t>THỨ</t>
  </si>
  <si>
    <t xml:space="preserve">TÊN THỰC PHẨM </t>
  </si>
  <si>
    <t>ĐỊNH LƯỢNG(gr)</t>
  </si>
  <si>
    <t>SỐ HS</t>
  </si>
  <si>
    <t>SL</t>
  </si>
  <si>
    <t>ĐƠN GIÁ</t>
  </si>
  <si>
    <t>THÀNH TIỀN</t>
  </si>
  <si>
    <t>Gạo BC</t>
  </si>
  <si>
    <t>8</t>
  </si>
  <si>
    <t xml:space="preserve">Thịt lợn sấn </t>
  </si>
  <si>
    <t>Gia vị ( dàu ăn, nước mắm, mỳ chính…)</t>
  </si>
  <si>
    <t>1</t>
  </si>
  <si>
    <t>Suất</t>
  </si>
  <si>
    <t xml:space="preserve">T/M NHÀ TRƯỜNG </t>
  </si>
  <si>
    <t xml:space="preserve">NGƯỜI THEO DÕI </t>
  </si>
  <si>
    <t>BẾP TRƯỞNG</t>
  </si>
  <si>
    <t>Ngô ngọt sạch vỏ</t>
  </si>
  <si>
    <t>27</t>
  </si>
  <si>
    <t>T10 thừa 58,412</t>
  </si>
  <si>
    <t xml:space="preserve">Nấm hương </t>
  </si>
  <si>
    <t>0,7</t>
  </si>
  <si>
    <t>Trứng vịt</t>
  </si>
  <si>
    <t>8,2</t>
  </si>
  <si>
    <t xml:space="preserve">Canh thịt băm bí xanh </t>
  </si>
  <si>
    <t>thịt băm</t>
  </si>
  <si>
    <t>6kg</t>
  </si>
  <si>
    <t>Hành lá</t>
  </si>
  <si>
    <t xml:space="preserve">Mọc </t>
  </si>
  <si>
    <t xml:space="preserve">Đậu trắng </t>
  </si>
  <si>
    <t xml:space="preserve">Cà chua </t>
  </si>
  <si>
    <t>Tép</t>
  </si>
  <si>
    <t>0,1</t>
  </si>
  <si>
    <t>6</t>
  </si>
  <si>
    <t>3</t>
  </si>
  <si>
    <t>Tổm biển ( loại 90-100)</t>
  </si>
  <si>
    <t>Đậu cove</t>
  </si>
  <si>
    <t xml:space="preserve"> Hành lá</t>
  </si>
  <si>
    <t>Giò lợn</t>
  </si>
  <si>
    <t>Ức gà CN không xương</t>
  </si>
  <si>
    <t>10,1</t>
  </si>
  <si>
    <t>Hành  lá</t>
  </si>
  <si>
    <t>BẢNG ĐẶT THỰC PHẨM( THỊT RA, CỦ) HÀNG NGÀY</t>
  </si>
  <si>
    <t>0,2</t>
  </si>
  <si>
    <t>Hành lá, rau thơm</t>
  </si>
  <si>
    <t>NHÀ BẾP</t>
  </si>
  <si>
    <t>27,1</t>
  </si>
  <si>
    <t>14,7</t>
  </si>
  <si>
    <t>11,6</t>
  </si>
  <si>
    <t xml:space="preserve">Chả lợn </t>
  </si>
  <si>
    <t xml:space="preserve">Khoai tây </t>
  </si>
  <si>
    <t>27,2</t>
  </si>
  <si>
    <t>hành khô</t>
  </si>
  <si>
    <t>hành lá</t>
  </si>
  <si>
    <t>5</t>
  </si>
  <si>
    <t>14</t>
  </si>
  <si>
    <t xml:space="preserve">rau ngót </t>
  </si>
  <si>
    <t>bầu</t>
  </si>
  <si>
    <t>Canh thịt băm rau bầu</t>
  </si>
  <si>
    <t>11,5</t>
  </si>
  <si>
    <t>6,2</t>
  </si>
  <si>
    <t xml:space="preserve"> Gia vị ( hành lá )</t>
  </si>
  <si>
    <t xml:space="preserve"> Gia vị (hành khô)</t>
  </si>
  <si>
    <t xml:space="preserve"> Bí xanh </t>
  </si>
  <si>
    <t xml:space="preserve">Xương ống </t>
  </si>
  <si>
    <t xml:space="preserve"> bí đỏ</t>
  </si>
  <si>
    <t>13</t>
  </si>
  <si>
    <t>Tỏi khô</t>
  </si>
  <si>
    <t>Rau thơm</t>
  </si>
  <si>
    <t xml:space="preserve">  rau cải</t>
  </si>
  <si>
    <t xml:space="preserve"> Gia vị( hành khô )</t>
  </si>
  <si>
    <t xml:space="preserve"> bí xanh </t>
  </si>
  <si>
    <t>Từ ngày 12/11 đến ngày 15/11</t>
  </si>
  <si>
    <t>Thịt lợn sấn (mông, vai, thăn)</t>
  </si>
  <si>
    <t>Khoai tây, sào thịt</t>
  </si>
  <si>
    <t>5,8</t>
  </si>
  <si>
    <t>14,8</t>
  </si>
  <si>
    <t>26,9</t>
  </si>
  <si>
    <t>15</t>
  </si>
  <si>
    <t>8,3</t>
  </si>
  <si>
    <t>Bầu</t>
  </si>
  <si>
    <t>Từ ngày 18/11 đến ngày 22/11</t>
  </si>
  <si>
    <t>16</t>
  </si>
  <si>
    <t xml:space="preserve"> Gia vị  hành khô</t>
  </si>
  <si>
    <t xml:space="preserve"> Gia vị Hành lá</t>
  </si>
  <si>
    <t>Rau thơm, hành lá</t>
  </si>
  <si>
    <t>Thịt lợn sấn ( Mông, vai, thăn)</t>
  </si>
  <si>
    <t xml:space="preserve"> Canh  rau cải</t>
  </si>
  <si>
    <t xml:space="preserve">Canh  bí xanh </t>
  </si>
  <si>
    <t>14,3</t>
  </si>
  <si>
    <t>Từ ngày 25/11 đến ngày 29/11</t>
  </si>
  <si>
    <t>7,2</t>
  </si>
  <si>
    <t>11,2</t>
  </si>
  <si>
    <t>6,1</t>
  </si>
  <si>
    <t>27,8</t>
  </si>
  <si>
    <t>12</t>
  </si>
  <si>
    <t>14,4</t>
  </si>
  <si>
    <t>6,3</t>
  </si>
  <si>
    <t>8,7</t>
  </si>
  <si>
    <t>15,3</t>
  </si>
  <si>
    <t>Tỏi</t>
  </si>
  <si>
    <t>Từ ngày 02/12đến ngày 06/12</t>
  </si>
  <si>
    <t>Hành Khô</t>
  </si>
  <si>
    <t xml:space="preserve"> Rau bầu</t>
  </si>
  <si>
    <t>5,6</t>
  </si>
  <si>
    <t>Rau  bầu</t>
  </si>
  <si>
    <t>Rau cải</t>
  </si>
  <si>
    <t>27,7</t>
  </si>
  <si>
    <t>Từ ngày 09/12đến ngày 13/12</t>
  </si>
  <si>
    <t>Rau mùi tàu</t>
  </si>
  <si>
    <t>15,2</t>
  </si>
  <si>
    <t>8,8</t>
  </si>
  <si>
    <t>7,1</t>
  </si>
  <si>
    <t>Từ ngày 16/12đến ngày 20/12/2024</t>
  </si>
  <si>
    <t>16,3</t>
  </si>
  <si>
    <t xml:space="preserve">Thịt gà CN bỏ đầu chân cổ cánh </t>
  </si>
  <si>
    <t xml:space="preserve">Trứng vịt </t>
  </si>
  <si>
    <t>7</t>
  </si>
  <si>
    <t xml:space="preserve">  T2
23/12</t>
  </si>
  <si>
    <t xml:space="preserve">  T3
24/12</t>
  </si>
  <si>
    <t xml:space="preserve">  T4
25/12</t>
  </si>
  <si>
    <t xml:space="preserve">  T5
26/12</t>
  </si>
  <si>
    <t xml:space="preserve">  T6
27/12</t>
  </si>
  <si>
    <t>Từ ngày 23/12đến ngày 27/12/2024</t>
  </si>
  <si>
    <t>không xuẩt hóa đơn</t>
  </si>
  <si>
    <t>7,4</t>
  </si>
  <si>
    <t xml:space="preserve">  T2
30/12</t>
  </si>
  <si>
    <t xml:space="preserve">  T3
31/12</t>
  </si>
  <si>
    <t xml:space="preserve">  T6
03/01  /2025</t>
  </si>
  <si>
    <t>27,6</t>
  </si>
  <si>
    <t>Chả lợn</t>
  </si>
  <si>
    <t>9</t>
  </si>
  <si>
    <t xml:space="preserve">  T5
02/01  /2025</t>
  </si>
  <si>
    <t>7,9</t>
  </si>
  <si>
    <t>Từ ngày 30/12/2024 đến ngày 03/01/2025</t>
  </si>
  <si>
    <t xml:space="preserve">Canh bí xanh </t>
  </si>
  <si>
    <t>BẢNG ĐỊNH LƯỢNG THỰC PHẨM SUẤT ĂN BÁN TRÚ THÁNG 01/2025</t>
  </si>
  <si>
    <t>Từ ngày 06/01 đến ngày 10/01/2025</t>
  </si>
  <si>
    <t>7,3</t>
  </si>
  <si>
    <t>Thịt xay</t>
  </si>
  <si>
    <t>Canh su hào</t>
  </si>
  <si>
    <t xml:space="preserve">  T2
06/01</t>
  </si>
  <si>
    <t xml:space="preserve">  T3
07/01</t>
  </si>
  <si>
    <t xml:space="preserve">  T4
08/01 /2025</t>
  </si>
  <si>
    <t xml:space="preserve">  T5
09/01 /2025</t>
  </si>
  <si>
    <t>Tổm biển ( loại 110 con)</t>
  </si>
  <si>
    <t xml:space="preserve">  T6
10/01  /2025</t>
  </si>
  <si>
    <t>27,5</t>
  </si>
  <si>
    <t>13,1</t>
  </si>
  <si>
    <t>27,4</t>
  </si>
  <si>
    <t>13,4</t>
  </si>
  <si>
    <t>7,7</t>
  </si>
  <si>
    <t xml:space="preserve">  T2
13/01</t>
  </si>
  <si>
    <t>Từ ngày 13/01/2025</t>
  </si>
  <si>
    <t>Từ ngày 20/01 đến ngày 24/01/2025</t>
  </si>
  <si>
    <t xml:space="preserve">  T2
20/01</t>
  </si>
  <si>
    <t xml:space="preserve">  T3
21/01</t>
  </si>
  <si>
    <t xml:space="preserve">  T4
22/01 /2025</t>
  </si>
  <si>
    <t xml:space="preserve">  T5
23/01 /2025</t>
  </si>
  <si>
    <t xml:space="preserve">  T6
24/01  /2025</t>
  </si>
  <si>
    <t>27,3</t>
  </si>
  <si>
    <t xml:space="preserve">  T2
03/02</t>
  </si>
  <si>
    <t>BẢNG ĐỊNH LƯỢNG THỰC PHẨM SUẤT ĂN BÁN TRÚ THÁNG 02/2025</t>
  </si>
  <si>
    <t>Từ ngày03/02 đến ngày 07/02/2025</t>
  </si>
  <si>
    <t xml:space="preserve">  T3
04/02</t>
  </si>
  <si>
    <t xml:space="preserve">  T4
05/02</t>
  </si>
  <si>
    <t xml:space="preserve">  T5
06/02</t>
  </si>
  <si>
    <t xml:space="preserve">  T6
07/02</t>
  </si>
  <si>
    <t>12,1</t>
  </si>
  <si>
    <t>13,3</t>
  </si>
  <si>
    <t>Cá rô phi lê</t>
  </si>
  <si>
    <t>131</t>
  </si>
  <si>
    <t>18,5</t>
  </si>
  <si>
    <t>Rầu hào Magi350ml</t>
  </si>
  <si>
    <t>Chai</t>
  </si>
  <si>
    <t>2</t>
  </si>
  <si>
    <t>6,5</t>
  </si>
  <si>
    <t xml:space="preserve">  T2
10/02</t>
  </si>
  <si>
    <t xml:space="preserve">  T3
11/02</t>
  </si>
  <si>
    <t>Từ ngày 10 /02 đến ngày 14/02/2025</t>
  </si>
  <si>
    <t xml:space="preserve">  T4
12/02</t>
  </si>
  <si>
    <t xml:space="preserve">  T5
13/02</t>
  </si>
  <si>
    <t xml:space="preserve">  T6
14/02</t>
  </si>
  <si>
    <t>Bột chiên ròn</t>
  </si>
  <si>
    <t xml:space="preserve">Bí đao xanh </t>
  </si>
  <si>
    <t>17,7</t>
  </si>
  <si>
    <t>129</t>
  </si>
  <si>
    <t>5,1</t>
  </si>
  <si>
    <t>Từ ngày 17 /02 đến ngày 21/02/2025</t>
  </si>
  <si>
    <t>27,9</t>
  </si>
  <si>
    <t>12,3</t>
  </si>
  <si>
    <t xml:space="preserve">  T3
18/02</t>
  </si>
  <si>
    <t xml:space="preserve">  T2
2/02</t>
  </si>
  <si>
    <t xml:space="preserve">  T4
19/02</t>
  </si>
  <si>
    <t>11,9</t>
  </si>
  <si>
    <t xml:space="preserve">  T5
20/02</t>
  </si>
  <si>
    <t xml:space="preserve">  T6
21/02</t>
  </si>
  <si>
    <t>27,76</t>
  </si>
  <si>
    <t>18,3</t>
  </si>
  <si>
    <t>Từ ngày 24 /02 đến ngày 28/02/2025</t>
  </si>
  <si>
    <t xml:space="preserve">  T2
24/02</t>
  </si>
  <si>
    <t xml:space="preserve">  T3
25/02</t>
  </si>
  <si>
    <t>12,6</t>
  </si>
  <si>
    <t xml:space="preserve">  T4
26/02</t>
  </si>
  <si>
    <t xml:space="preserve">  T5
27/02</t>
  </si>
  <si>
    <t>5,3</t>
  </si>
  <si>
    <t>T6 28/02</t>
  </si>
  <si>
    <t>Từ ngày 03/03 đến ngày 07/03/2025</t>
  </si>
  <si>
    <t xml:space="preserve">  T2
03/03</t>
  </si>
  <si>
    <t xml:space="preserve">  T3
04/03</t>
  </si>
  <si>
    <t xml:space="preserve">  T4
05/03</t>
  </si>
  <si>
    <t xml:space="preserve">  T5
06/03</t>
  </si>
  <si>
    <t>T6 07/03</t>
  </si>
  <si>
    <t>5,2</t>
  </si>
  <si>
    <t>Từ ngày 10/03 đến ngày 14/03/2025</t>
  </si>
  <si>
    <t>Gừng tươi</t>
  </si>
  <si>
    <t xml:space="preserve">  T2
10/03</t>
  </si>
  <si>
    <t xml:space="preserve">  T3
11/03</t>
  </si>
  <si>
    <t xml:space="preserve">  T4
12/03</t>
  </si>
  <si>
    <t xml:space="preserve">  T5
13/03</t>
  </si>
  <si>
    <t>T6 14/03</t>
  </si>
  <si>
    <t>12,4</t>
  </si>
  <si>
    <t>BẢNG ĐỊNH LƯỢNG THỰC PHẨM SUẤT ĂN BÁN TRÚ THÁNG 03/2025</t>
  </si>
  <si>
    <t>10</t>
  </si>
  <si>
    <t>18,4</t>
  </si>
  <si>
    <t>Từ ngày 17/03 đến ngày 21/03/2025</t>
  </si>
  <si>
    <t xml:space="preserve">  T2
17/03</t>
  </si>
  <si>
    <t xml:space="preserve">  T3
18/03</t>
  </si>
  <si>
    <t xml:space="preserve">  T4
19/03</t>
  </si>
  <si>
    <t xml:space="preserve">  T5
20/03</t>
  </si>
  <si>
    <t>T6 21/03</t>
  </si>
  <si>
    <t>9,3</t>
  </si>
  <si>
    <t>17,8</t>
  </si>
  <si>
    <t>5,5</t>
  </si>
  <si>
    <t>Từ ngày 24/03 đến ngày 27/03/2025</t>
  </si>
  <si>
    <t xml:space="preserve">  T2
24/03</t>
  </si>
  <si>
    <t xml:space="preserve">  T3
25/03</t>
  </si>
  <si>
    <t xml:space="preserve">  T4
26/03</t>
  </si>
  <si>
    <t xml:space="preserve">  T5
27/03</t>
  </si>
  <si>
    <t>7,13</t>
  </si>
  <si>
    <t>17,4</t>
  </si>
  <si>
    <t>5,4</t>
  </si>
  <si>
    <t xml:space="preserve">Trứng cút </t>
  </si>
  <si>
    <t>Rau mùng tơi</t>
  </si>
  <si>
    <t xml:space="preserve">Mướp hương </t>
  </si>
  <si>
    <t>4,9</t>
  </si>
  <si>
    <t>T6    28/03</t>
  </si>
  <si>
    <t xml:space="preserve">  T2
31/03</t>
  </si>
  <si>
    <t>Từ ngày 31/03/2025</t>
  </si>
  <si>
    <t xml:space="preserve">  T4
01/04</t>
  </si>
  <si>
    <t xml:space="preserve">  T4
02/04</t>
  </si>
  <si>
    <t xml:space="preserve">  T5
03/04</t>
  </si>
  <si>
    <t>T6    04/04</t>
  </si>
  <si>
    <t>BẢNG ĐỊNH LƯỢNG THỰC PHẨM SUẤT ĂN BÁN TRÚ THÁNG 04/2025</t>
  </si>
  <si>
    <t>Từ ngày 01/04 đến ngày 04/04/2025</t>
  </si>
  <si>
    <t xml:space="preserve">Rau ngót </t>
  </si>
  <si>
    <t>120</t>
  </si>
  <si>
    <t>cái</t>
  </si>
  <si>
    <t>8,5</t>
  </si>
  <si>
    <t>Nhờ bác hàng thịt lọc bì để riêng luôn</t>
  </si>
  <si>
    <t>4,1</t>
  </si>
  <si>
    <t>Cà chua</t>
  </si>
  <si>
    <t xml:space="preserve">Cải ngọt </t>
  </si>
  <si>
    <t>4</t>
  </si>
  <si>
    <t>Từ ngày 08/04 đến ngày 12/04/2025</t>
  </si>
  <si>
    <t xml:space="preserve">  T4
09/04</t>
  </si>
  <si>
    <t>Rầu hào Magi880ml</t>
  </si>
  <si>
    <t xml:space="preserve">  T3
08/04</t>
  </si>
  <si>
    <t xml:space="preserve">Bầu </t>
  </si>
  <si>
    <t>125</t>
  </si>
  <si>
    <t>17</t>
  </si>
  <si>
    <t xml:space="preserve">  T5
10/04</t>
  </si>
  <si>
    <t>T6    11/04</t>
  </si>
  <si>
    <t>còn 230 em 1 em nghỉ 1 tháng</t>
  </si>
  <si>
    <t>3 em nghỉ ngáy 10-11 còn 229</t>
  </si>
  <si>
    <t>15 em nghỉ ngáy 10-11 còn 229</t>
  </si>
  <si>
    <t>26,1</t>
  </si>
  <si>
    <t>9,9</t>
  </si>
  <si>
    <t>Tổng còn 228 em ăn</t>
  </si>
  <si>
    <t>8,9</t>
  </si>
  <si>
    <t>Từ ngày 15/04 đến ngày 1904/2025</t>
  </si>
  <si>
    <t xml:space="preserve">  T2
14/04</t>
  </si>
  <si>
    <t xml:space="preserve">  T3
15/04</t>
  </si>
  <si>
    <t xml:space="preserve">  T4
16/04</t>
  </si>
  <si>
    <t>T5    17/04</t>
  </si>
  <si>
    <t>T6    18/04</t>
  </si>
  <si>
    <t>Gừng</t>
  </si>
  <si>
    <t>127</t>
  </si>
  <si>
    <t>Bí đỏ</t>
  </si>
  <si>
    <t>Mùi tàu</t>
  </si>
  <si>
    <t>Cà chua đắt thế</t>
  </si>
  <si>
    <t>10,9</t>
  </si>
  <si>
    <t>Từ ngày  03/01/2025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</si>
</sst>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₫_-;\-* #,##0.00\ _₫_-;_-* &quot;-&quot;??\ _₫_-;_-@_-"/>
    <numFmt numFmtId="169" formatCode="_(* #,##0.0_);_(* \(#,##0.0\);_(* &quot;-&quot;??_);_(@_)"/>
    <numFmt numFmtId="170" formatCode="&quot;$&quot;#,##0_);\(&quot;$&quot;#,##0\)"/>
    <numFmt numFmtId="171" formatCode="#,##0.0"/>
  </numFmts>
  <fonts count="34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Arial"/>
      <family val="2"/>
      <scheme val="minor"/>
    </font>
    <font>
      <sz val="14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8"/>
      <name val="Arial"/>
      <family val="2"/>
      <scheme val="minor"/>
    </font>
    <font>
      <sz val="16"/>
      <color rgb="FFFF0000"/>
      <name val="Arial"/>
      <family val="2"/>
      <scheme val="minor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VNbook-Antiqua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  <charset val="163"/>
    </font>
    <font>
      <b/>
      <sz val="12"/>
      <color theme="1"/>
      <name val="Arial"/>
      <family val="2"/>
      <charset val="163"/>
      <scheme val="minor"/>
    </font>
    <font>
      <sz val="14"/>
      <color theme="1"/>
      <name val="Arial"/>
      <family val="2"/>
      <scheme val="minor"/>
    </font>
    <font>
      <sz val="12"/>
      <color rgb="FFFF0000"/>
      <name val="Times New Roman"/>
      <family val="1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color rgb="FFFF0000"/>
      <name val="Arial"/>
      <family val="2"/>
      <charset val="163"/>
      <scheme val="minor"/>
    </font>
    <font>
      <sz val="12"/>
      <name val="Arial"/>
      <family val="2"/>
      <scheme val="minor"/>
    </font>
    <font>
      <b/>
      <sz val="12"/>
      <color rgb="FFFF0000"/>
      <name val="Times New Roman"/>
      <family val="1"/>
      <charset val="163"/>
    </font>
    <font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165" fontId="1" fillId="0" borderId="1" xfId="1" applyNumberFormat="1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5" xfId="0" applyFont="1" applyBorder="1"/>
    <xf numFmtId="3" fontId="5" fillId="0" borderId="5" xfId="0" applyNumberFormat="1" applyFont="1" applyBorder="1"/>
    <xf numFmtId="165" fontId="1" fillId="0" borderId="5" xfId="1" applyNumberFormat="1" applyFont="1" applyBorder="1"/>
    <xf numFmtId="0" fontId="1" fillId="0" borderId="9" xfId="0" applyFont="1" applyBorder="1"/>
    <xf numFmtId="165" fontId="1" fillId="0" borderId="9" xfId="1" applyNumberFormat="1" applyFont="1" applyBorder="1"/>
    <xf numFmtId="0" fontId="1" fillId="0" borderId="6" xfId="0" applyFont="1" applyBorder="1"/>
    <xf numFmtId="3" fontId="1" fillId="0" borderId="6" xfId="0" applyNumberFormat="1" applyFont="1" applyBorder="1"/>
    <xf numFmtId="165" fontId="1" fillId="0" borderId="6" xfId="1" applyNumberFormat="1" applyFont="1" applyBorder="1"/>
    <xf numFmtId="0" fontId="1" fillId="0" borderId="7" xfId="0" applyFont="1" applyBorder="1"/>
    <xf numFmtId="49" fontId="1" fillId="0" borderId="7" xfId="1" applyNumberFormat="1" applyFont="1" applyBorder="1"/>
    <xf numFmtId="165" fontId="1" fillId="0" borderId="7" xfId="1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5" fontId="2" fillId="0" borderId="1" xfId="0" applyNumberFormat="1" applyFont="1" applyBorder="1"/>
    <xf numFmtId="165" fontId="1" fillId="0" borderId="6" xfId="1" applyNumberFormat="1" applyFont="1" applyBorder="1" applyAlignment="1">
      <alignment horizontal="right"/>
    </xf>
    <xf numFmtId="165" fontId="2" fillId="0" borderId="6" xfId="1" applyNumberFormat="1" applyFont="1" applyBorder="1"/>
    <xf numFmtId="0" fontId="1" fillId="0" borderId="4" xfId="0" applyFont="1" applyBorder="1" applyAlignment="1">
      <alignment horizontal="center"/>
    </xf>
    <xf numFmtId="165" fontId="0" fillId="0" borderId="0" xfId="0" applyNumberFormat="1"/>
    <xf numFmtId="0" fontId="11" fillId="0" borderId="0" xfId="0" applyFont="1"/>
    <xf numFmtId="3" fontId="1" fillId="0" borderId="7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/>
    <xf numFmtId="3" fontId="1" fillId="0" borderId="14" xfId="0" applyNumberFormat="1" applyFont="1" applyBorder="1"/>
    <xf numFmtId="164" fontId="0" fillId="0" borderId="0" xfId="1" applyFont="1"/>
    <xf numFmtId="0" fontId="12" fillId="0" borderId="6" xfId="0" applyFont="1" applyBorder="1"/>
    <xf numFmtId="165" fontId="1" fillId="0" borderId="2" xfId="1" applyNumberFormat="1" applyFont="1" applyBorder="1"/>
    <xf numFmtId="3" fontId="5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0" xfId="0" applyFill="1"/>
    <xf numFmtId="0" fontId="11" fillId="3" borderId="0" xfId="0" applyFont="1" applyFill="1"/>
    <xf numFmtId="0" fontId="7" fillId="0" borderId="1" xfId="0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center" vertical="center"/>
    </xf>
    <xf numFmtId="49" fontId="1" fillId="0" borderId="14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9" fontId="1" fillId="0" borderId="6" xfId="1" applyNumberFormat="1" applyFont="1" applyBorder="1" applyAlignment="1">
      <alignment horizontal="center" vertical="center"/>
    </xf>
    <xf numFmtId="49" fontId="1" fillId="0" borderId="9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49" fontId="1" fillId="0" borderId="14" xfId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/>
    </xf>
    <xf numFmtId="0" fontId="15" fillId="0" borderId="0" xfId="0" applyFont="1"/>
    <xf numFmtId="49" fontId="1" fillId="0" borderId="14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3" fontId="3" fillId="0" borderId="5" xfId="0" applyNumberFormat="1" applyFont="1" applyBorder="1"/>
    <xf numFmtId="165" fontId="3" fillId="0" borderId="5" xfId="1" applyNumberFormat="1" applyFont="1" applyBorder="1"/>
    <xf numFmtId="0" fontId="11" fillId="2" borderId="0" xfId="0" applyFont="1" applyFill="1"/>
    <xf numFmtId="165" fontId="11" fillId="0" borderId="0" xfId="0" applyNumberFormat="1" applyFont="1"/>
    <xf numFmtId="3" fontId="3" fillId="0" borderId="6" xfId="0" applyNumberFormat="1" applyFont="1" applyBorder="1"/>
    <xf numFmtId="165" fontId="3" fillId="0" borderId="6" xfId="1" applyNumberFormat="1" applyFont="1" applyBorder="1"/>
    <xf numFmtId="169" fontId="3" fillId="0" borderId="6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17" fillId="0" borderId="1" xfId="0" applyNumberFormat="1" applyFont="1" applyBorder="1"/>
    <xf numFmtId="0" fontId="3" fillId="0" borderId="9" xfId="0" applyFont="1" applyBorder="1"/>
    <xf numFmtId="3" fontId="3" fillId="0" borderId="9" xfId="0" applyNumberFormat="1" applyFont="1" applyBorder="1"/>
    <xf numFmtId="0" fontId="3" fillId="0" borderId="15" xfId="0" applyFont="1" applyBorder="1"/>
    <xf numFmtId="3" fontId="3" fillId="0" borderId="15" xfId="0" applyNumberFormat="1" applyFont="1" applyBorder="1"/>
    <xf numFmtId="0" fontId="3" fillId="0" borderId="7" xfId="0" applyFont="1" applyBorder="1"/>
    <xf numFmtId="0" fontId="13" fillId="4" borderId="0" xfId="0" applyFont="1" applyFill="1" applyAlignment="1">
      <alignment horizontal="center"/>
    </xf>
    <xf numFmtId="0" fontId="3" fillId="0" borderId="16" xfId="0" applyFont="1" applyBorder="1"/>
    <xf numFmtId="49" fontId="3" fillId="0" borderId="1" xfId="0" applyNumberFormat="1" applyFont="1" applyBorder="1"/>
    <xf numFmtId="49" fontId="3" fillId="0" borderId="6" xfId="0" applyNumberFormat="1" applyFont="1" applyBorder="1"/>
    <xf numFmtId="49" fontId="3" fillId="0" borderId="9" xfId="0" applyNumberFormat="1" applyFont="1" applyBorder="1"/>
    <xf numFmtId="49" fontId="1" fillId="0" borderId="5" xfId="0" applyNumberFormat="1" applyFont="1" applyBorder="1"/>
    <xf numFmtId="165" fontId="11" fillId="0" borderId="0" xfId="1" applyNumberFormat="1" applyFont="1"/>
    <xf numFmtId="49" fontId="1" fillId="0" borderId="2" xfId="0" applyNumberFormat="1" applyFont="1" applyBorder="1"/>
    <xf numFmtId="49" fontId="1" fillId="0" borderId="9" xfId="0" applyNumberFormat="1" applyFont="1" applyBorder="1"/>
    <xf numFmtId="49" fontId="1" fillId="0" borderId="6" xfId="0" applyNumberFormat="1" applyFont="1" applyBorder="1"/>
    <xf numFmtId="165" fontId="0" fillId="0" borderId="0" xfId="1" applyNumberFormat="1" applyFont="1"/>
    <xf numFmtId="0" fontId="3" fillId="0" borderId="2" xfId="0" applyFont="1" applyBorder="1"/>
    <xf numFmtId="3" fontId="3" fillId="0" borderId="2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2" fillId="0" borderId="7" xfId="0" applyFont="1" applyBorder="1"/>
    <xf numFmtId="49" fontId="22" fillId="0" borderId="7" xfId="1" applyNumberFormat="1" applyFont="1" applyBorder="1"/>
    <xf numFmtId="0" fontId="1" fillId="0" borderId="3" xfId="0" applyFont="1" applyBorder="1"/>
    <xf numFmtId="0" fontId="3" fillId="0" borderId="14" xfId="0" applyFont="1" applyBorder="1"/>
    <xf numFmtId="0" fontId="0" fillId="2" borderId="0" xfId="0" applyFill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4" fillId="0" borderId="0" xfId="0" applyFont="1"/>
    <xf numFmtId="0" fontId="25" fillId="0" borderId="2" xfId="0" applyFont="1" applyBorder="1"/>
    <xf numFmtId="49" fontId="12" fillId="0" borderId="5" xfId="0" applyNumberFormat="1" applyFont="1" applyBorder="1"/>
    <xf numFmtId="0" fontId="12" fillId="0" borderId="5" xfId="0" applyFont="1" applyBorder="1"/>
    <xf numFmtId="3" fontId="25" fillId="0" borderId="2" xfId="0" applyNumberFormat="1" applyFont="1" applyBorder="1"/>
    <xf numFmtId="165" fontId="12" fillId="0" borderId="5" xfId="1" applyNumberFormat="1" applyFont="1" applyBorder="1"/>
    <xf numFmtId="0" fontId="26" fillId="2" borderId="0" xfId="0" applyFont="1" applyFill="1"/>
    <xf numFmtId="0" fontId="26" fillId="0" borderId="0" xfId="0" applyFont="1"/>
    <xf numFmtId="49" fontId="12" fillId="0" borderId="6" xfId="0" applyNumberFormat="1" applyFont="1" applyBorder="1"/>
    <xf numFmtId="49" fontId="12" fillId="0" borderId="6" xfId="1" applyNumberFormat="1" applyFont="1" applyBorder="1" applyAlignment="1">
      <alignment horizontal="center" vertical="center"/>
    </xf>
    <xf numFmtId="3" fontId="12" fillId="0" borderId="6" xfId="0" applyNumberFormat="1" applyFont="1" applyBorder="1"/>
    <xf numFmtId="165" fontId="12" fillId="0" borderId="6" xfId="1" applyNumberFormat="1" applyFont="1" applyBorder="1"/>
    <xf numFmtId="0" fontId="12" fillId="0" borderId="3" xfId="0" applyFont="1" applyBorder="1" applyAlignment="1">
      <alignment vertical="center"/>
    </xf>
    <xf numFmtId="164" fontId="26" fillId="0" borderId="0" xfId="1" applyFont="1"/>
    <xf numFmtId="165" fontId="26" fillId="0" borderId="0" xfId="1" applyNumberFormat="1" applyFont="1"/>
    <xf numFmtId="0" fontId="12" fillId="0" borderId="7" xfId="0" applyFont="1" applyBorder="1"/>
    <xf numFmtId="49" fontId="12" fillId="0" borderId="7" xfId="1" applyNumberFormat="1" applyFont="1" applyBorder="1" applyAlignment="1">
      <alignment horizontal="center" vertical="center"/>
    </xf>
    <xf numFmtId="49" fontId="12" fillId="0" borderId="7" xfId="1" applyNumberFormat="1" applyFont="1" applyBorder="1"/>
    <xf numFmtId="165" fontId="26" fillId="0" borderId="0" xfId="0" applyNumberFormat="1" applyFont="1"/>
    <xf numFmtId="0" fontId="12" fillId="0" borderId="0" xfId="0" applyFont="1"/>
    <xf numFmtId="49" fontId="12" fillId="0" borderId="0" xfId="1" applyNumberFormat="1" applyFont="1" applyBorder="1" applyAlignment="1">
      <alignment horizontal="center" vertical="center"/>
    </xf>
    <xf numFmtId="49" fontId="12" fillId="0" borderId="0" xfId="1" applyNumberFormat="1" applyFont="1" applyBorder="1"/>
    <xf numFmtId="165" fontId="12" fillId="0" borderId="0" xfId="1" applyNumberFormat="1" applyFont="1" applyBorder="1"/>
    <xf numFmtId="165" fontId="12" fillId="0" borderId="7" xfId="1" applyNumberFormat="1" applyFont="1" applyBorder="1"/>
    <xf numFmtId="0" fontId="27" fillId="0" borderId="0" xfId="0" applyFont="1"/>
    <xf numFmtId="166" fontId="26" fillId="0" borderId="0" xfId="0" applyNumberFormat="1" applyFont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5" fontId="7" fillId="0" borderId="1" xfId="0" applyNumberFormat="1" applyFont="1" applyBorder="1"/>
    <xf numFmtId="49" fontId="12" fillId="0" borderId="2" xfId="0" applyNumberFormat="1" applyFont="1" applyBorder="1" applyAlignment="1">
      <alignment horizontal="center"/>
    </xf>
    <xf numFmtId="3" fontId="28" fillId="0" borderId="5" xfId="0" applyNumberFormat="1" applyFont="1" applyBorder="1"/>
    <xf numFmtId="49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165" fontId="23" fillId="0" borderId="0" xfId="0" applyNumberFormat="1" applyFont="1"/>
    <xf numFmtId="0" fontId="23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/>
    <xf numFmtId="0" fontId="29" fillId="0" borderId="11" xfId="0" applyFont="1" applyBorder="1"/>
    <xf numFmtId="49" fontId="29" fillId="0" borderId="1" xfId="1" applyNumberFormat="1" applyFont="1" applyBorder="1" applyAlignment="1">
      <alignment horizontal="center" vertical="center"/>
    </xf>
    <xf numFmtId="49" fontId="29" fillId="0" borderId="11" xfId="1" applyNumberFormat="1" applyFont="1" applyBorder="1"/>
    <xf numFmtId="165" fontId="29" fillId="0" borderId="1" xfId="1" applyNumberFormat="1" applyFont="1" applyBorder="1"/>
    <xf numFmtId="0" fontId="30" fillId="0" borderId="0" xfId="0" applyFont="1"/>
    <xf numFmtId="166" fontId="23" fillId="0" borderId="0" xfId="0" applyNumberFormat="1" applyFont="1"/>
    <xf numFmtId="164" fontId="23" fillId="0" borderId="0" xfId="1" applyFont="1"/>
    <xf numFmtId="0" fontId="12" fillId="0" borderId="2" xfId="0" applyFont="1" applyBorder="1" applyAlignment="1">
      <alignment horizontal="center"/>
    </xf>
    <xf numFmtId="0" fontId="12" fillId="0" borderId="17" xfId="0" applyFont="1" applyBorder="1"/>
    <xf numFmtId="0" fontId="12" fillId="0" borderId="3" xfId="0" applyFont="1" applyBorder="1"/>
    <xf numFmtId="165" fontId="12" fillId="0" borderId="3" xfId="1" applyNumberFormat="1" applyFont="1" applyBorder="1"/>
    <xf numFmtId="0" fontId="12" fillId="0" borderId="9" xfId="0" applyFont="1" applyBorder="1"/>
    <xf numFmtId="0" fontId="12" fillId="0" borderId="6" xfId="0" applyFont="1" applyBorder="1" applyAlignment="1">
      <alignment horizontal="center"/>
    </xf>
    <xf numFmtId="0" fontId="12" fillId="0" borderId="19" xfId="0" applyFont="1" applyBorder="1"/>
    <xf numFmtId="3" fontId="28" fillId="0" borderId="9" xfId="0" applyNumberFormat="1" applyFont="1" applyBorder="1"/>
    <xf numFmtId="0" fontId="12" fillId="0" borderId="18" xfId="0" applyFont="1" applyBorder="1" applyAlignment="1">
      <alignment horizontal="center"/>
    </xf>
    <xf numFmtId="0" fontId="12" fillId="0" borderId="20" xfId="0" applyFont="1" applyBorder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49" fontId="12" fillId="0" borderId="3" xfId="0" applyNumberFormat="1" applyFont="1" applyBorder="1" applyAlignment="1">
      <alignment horizontal="center"/>
    </xf>
    <xf numFmtId="165" fontId="12" fillId="0" borderId="9" xfId="1" applyNumberFormat="1" applyFont="1" applyBorder="1"/>
    <xf numFmtId="0" fontId="12" fillId="0" borderId="14" xfId="0" applyFont="1" applyBorder="1"/>
    <xf numFmtId="0" fontId="12" fillId="0" borderId="1" xfId="0" applyFont="1" applyBorder="1" applyAlignment="1">
      <alignment horizontal="center" vertical="center" wrapText="1"/>
    </xf>
    <xf numFmtId="0" fontId="25" fillId="0" borderId="4" xfId="0" applyFont="1" applyBorder="1"/>
    <xf numFmtId="0" fontId="12" fillId="0" borderId="4" xfId="0" applyFont="1" applyBorder="1"/>
    <xf numFmtId="49" fontId="12" fillId="0" borderId="4" xfId="1" applyNumberFormat="1" applyFont="1" applyBorder="1" applyAlignment="1">
      <alignment horizontal="center" vertical="center"/>
    </xf>
    <xf numFmtId="165" fontId="12" fillId="0" borderId="4" xfId="1" applyNumberFormat="1" applyFont="1" applyBorder="1"/>
    <xf numFmtId="165" fontId="7" fillId="0" borderId="1" xfId="1" applyNumberFormat="1" applyFont="1" applyBorder="1"/>
    <xf numFmtId="14" fontId="12" fillId="0" borderId="3" xfId="0" applyNumberFormat="1" applyFont="1" applyBorder="1" applyAlignment="1">
      <alignment horizontal="center" vertical="center" wrapText="1"/>
    </xf>
    <xf numFmtId="164" fontId="24" fillId="0" borderId="0" xfId="1" applyFont="1"/>
    <xf numFmtId="165" fontId="26" fillId="2" borderId="0" xfId="0" applyNumberFormat="1" applyFont="1" applyFill="1"/>
    <xf numFmtId="165" fontId="30" fillId="0" borderId="0" xfId="0" applyNumberFormat="1" applyFont="1"/>
    <xf numFmtId="0" fontId="25" fillId="0" borderId="2" xfId="0" applyFont="1" applyBorder="1" applyAlignment="1">
      <alignment horizontal="center"/>
    </xf>
    <xf numFmtId="171" fontId="12" fillId="0" borderId="6" xfId="0" applyNumberFormat="1" applyFont="1" applyBorder="1" applyAlignment="1">
      <alignment horizontal="center"/>
    </xf>
    <xf numFmtId="49" fontId="25" fillId="0" borderId="1" xfId="1" applyNumberFormat="1" applyFont="1" applyBorder="1" applyAlignment="1">
      <alignment horizontal="center"/>
    </xf>
    <xf numFmtId="49" fontId="25" fillId="0" borderId="3" xfId="1" applyNumberFormat="1" applyFont="1" applyBorder="1" applyAlignment="1">
      <alignment horizontal="center"/>
    </xf>
    <xf numFmtId="49" fontId="25" fillId="0" borderId="6" xfId="1" applyNumberFormat="1" applyFont="1" applyBorder="1" applyAlignment="1">
      <alignment horizontal="center"/>
    </xf>
    <xf numFmtId="49" fontId="25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171" fontId="1" fillId="0" borderId="6" xfId="0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49" fontId="3" fillId="0" borderId="9" xfId="1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/>
    <xf numFmtId="3" fontId="12" fillId="0" borderId="14" xfId="0" applyNumberFormat="1" applyFont="1" applyBorder="1"/>
    <xf numFmtId="165" fontId="12" fillId="0" borderId="14" xfId="1" applyNumberFormat="1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/>
    <xf numFmtId="3" fontId="28" fillId="0" borderId="3" xfId="0" applyNumberFormat="1" applyFont="1" applyBorder="1"/>
    <xf numFmtId="49" fontId="12" fillId="0" borderId="9" xfId="0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 vertical="center"/>
    </xf>
    <xf numFmtId="0" fontId="25" fillId="0" borderId="5" xfId="0" applyFont="1" applyBorder="1"/>
    <xf numFmtId="0" fontId="25" fillId="0" borderId="6" xfId="0" applyFont="1" applyBorder="1"/>
    <xf numFmtId="165" fontId="12" fillId="0" borderId="6" xfId="1" applyNumberFormat="1" applyFont="1" applyBorder="1" applyAlignment="1">
      <alignment horizontal="center" vertical="center"/>
    </xf>
    <xf numFmtId="169" fontId="12" fillId="0" borderId="6" xfId="1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165" fontId="27" fillId="0" borderId="0" xfId="0" applyNumberFormat="1" applyFont="1"/>
    <xf numFmtId="0" fontId="25" fillId="0" borderId="1" xfId="0" applyFont="1" applyBorder="1" applyAlignment="1">
      <alignment vertical="center"/>
    </xf>
    <xf numFmtId="0" fontId="25" fillId="0" borderId="23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5" fontId="10" fillId="0" borderId="1" xfId="0" applyNumberFormat="1" applyFont="1" applyBorder="1"/>
    <xf numFmtId="0" fontId="25" fillId="0" borderId="1" xfId="0" applyFont="1" applyBorder="1" applyAlignment="1">
      <alignment horizontal="center" vertical="center" wrapText="1"/>
    </xf>
    <xf numFmtId="49" fontId="25" fillId="0" borderId="4" xfId="1" applyNumberFormat="1" applyFont="1" applyBorder="1" applyAlignment="1">
      <alignment horizontal="center" vertical="center"/>
    </xf>
    <xf numFmtId="165" fontId="25" fillId="0" borderId="4" xfId="1" applyNumberFormat="1" applyFont="1" applyBorder="1"/>
    <xf numFmtId="165" fontId="10" fillId="0" borderId="1" xfId="1" applyNumberFormat="1" applyFont="1" applyBorder="1"/>
    <xf numFmtId="0" fontId="28" fillId="0" borderId="5" xfId="0" applyFont="1" applyBorder="1"/>
    <xf numFmtId="49" fontId="28" fillId="0" borderId="9" xfId="0" applyNumberFormat="1" applyFont="1" applyBorder="1" applyAlignment="1">
      <alignment horizontal="center"/>
    </xf>
    <xf numFmtId="0" fontId="28" fillId="0" borderId="6" xfId="0" applyFont="1" applyBorder="1"/>
    <xf numFmtId="49" fontId="28" fillId="0" borderId="5" xfId="1" applyNumberFormat="1" applyFont="1" applyBorder="1" applyAlignment="1">
      <alignment horizontal="center" vertical="center"/>
    </xf>
    <xf numFmtId="165" fontId="28" fillId="0" borderId="5" xfId="1" applyNumberFormat="1" applyFont="1" applyBorder="1"/>
    <xf numFmtId="165" fontId="31" fillId="0" borderId="0" xfId="0" applyNumberFormat="1" applyFont="1"/>
    <xf numFmtId="0" fontId="31" fillId="0" borderId="0" xfId="0" applyFont="1"/>
    <xf numFmtId="0" fontId="28" fillId="0" borderId="6" xfId="0" applyFont="1" applyBorder="1" applyAlignment="1">
      <alignment horizontal="center" vertical="center"/>
    </xf>
    <xf numFmtId="3" fontId="28" fillId="0" borderId="6" xfId="0" applyNumberFormat="1" applyFont="1" applyBorder="1"/>
    <xf numFmtId="165" fontId="28" fillId="0" borderId="6" xfId="1" applyNumberFormat="1" applyFont="1" applyBorder="1"/>
    <xf numFmtId="165" fontId="28" fillId="0" borderId="6" xfId="1" applyNumberFormat="1" applyFont="1" applyBorder="1" applyAlignment="1">
      <alignment horizontal="center" vertical="center"/>
    </xf>
    <xf numFmtId="169" fontId="28" fillId="0" borderId="6" xfId="1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/>
    </xf>
    <xf numFmtId="3" fontId="28" fillId="0" borderId="14" xfId="0" applyNumberFormat="1" applyFont="1" applyBorder="1"/>
    <xf numFmtId="0" fontId="28" fillId="0" borderId="6" xfId="0" applyFont="1" applyBorder="1" applyAlignment="1">
      <alignment horizontal="center"/>
    </xf>
    <xf numFmtId="0" fontId="28" fillId="0" borderId="3" xfId="0" applyFont="1" applyBorder="1" applyAlignment="1">
      <alignment vertical="center"/>
    </xf>
    <xf numFmtId="0" fontId="28" fillId="0" borderId="20" xfId="0" applyFont="1" applyBorder="1"/>
    <xf numFmtId="0" fontId="28" fillId="0" borderId="3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25" xfId="0" applyFont="1" applyBorder="1"/>
    <xf numFmtId="165" fontId="28" fillId="0" borderId="7" xfId="1" applyNumberFormat="1" applyFont="1" applyBorder="1"/>
    <xf numFmtId="0" fontId="28" fillId="0" borderId="3" xfId="0" applyFont="1" applyBorder="1" applyAlignment="1">
      <alignment horizontal="center" vertical="center" wrapText="1"/>
    </xf>
    <xf numFmtId="14" fontId="28" fillId="0" borderId="3" xfId="0" applyNumberFormat="1" applyFont="1" applyBorder="1" applyAlignment="1">
      <alignment horizontal="center" vertical="center" wrapText="1"/>
    </xf>
    <xf numFmtId="0" fontId="28" fillId="0" borderId="2" xfId="0" applyFont="1" applyBorder="1"/>
    <xf numFmtId="49" fontId="28" fillId="0" borderId="3" xfId="0" applyNumberFormat="1" applyFont="1" applyBorder="1" applyAlignment="1">
      <alignment horizontal="center"/>
    </xf>
    <xf numFmtId="49" fontId="28" fillId="0" borderId="3" xfId="1" applyNumberFormat="1" applyFont="1" applyBorder="1" applyAlignment="1">
      <alignment horizontal="center"/>
    </xf>
    <xf numFmtId="0" fontId="28" fillId="0" borderId="3" xfId="0" applyFont="1" applyBorder="1"/>
    <xf numFmtId="165" fontId="28" fillId="0" borderId="3" xfId="1" applyNumberFormat="1" applyFont="1" applyBorder="1"/>
    <xf numFmtId="165" fontId="31" fillId="2" borderId="0" xfId="0" applyNumberFormat="1" applyFont="1" applyFill="1"/>
    <xf numFmtId="165" fontId="31" fillId="0" borderId="0" xfId="1" applyNumberFormat="1" applyFont="1"/>
    <xf numFmtId="49" fontId="28" fillId="0" borderId="14" xfId="0" applyNumberFormat="1" applyFont="1" applyBorder="1" applyAlignment="1">
      <alignment horizontal="center"/>
    </xf>
    <xf numFmtId="49" fontId="28" fillId="0" borderId="6" xfId="1" applyNumberFormat="1" applyFont="1" applyBorder="1" applyAlignment="1">
      <alignment horizontal="center" vertical="center"/>
    </xf>
    <xf numFmtId="0" fontId="28" fillId="0" borderId="7" xfId="0" applyFont="1" applyBorder="1"/>
    <xf numFmtId="49" fontId="28" fillId="0" borderId="7" xfId="1" applyNumberFormat="1" applyFont="1" applyBorder="1" applyAlignment="1">
      <alignment horizontal="center" vertical="center"/>
    </xf>
    <xf numFmtId="49" fontId="28" fillId="0" borderId="7" xfId="1" applyNumberFormat="1" applyFont="1" applyBorder="1"/>
    <xf numFmtId="166" fontId="31" fillId="0" borderId="0" xfId="0" applyNumberFormat="1" applyFont="1"/>
    <xf numFmtId="164" fontId="31" fillId="0" borderId="0" xfId="1" applyFont="1"/>
    <xf numFmtId="49" fontId="25" fillId="0" borderId="3" xfId="0" applyNumberFormat="1" applyFont="1" applyBorder="1" applyAlignment="1">
      <alignment horizontal="center"/>
    </xf>
    <xf numFmtId="0" fontId="25" fillId="0" borderId="3" xfId="0" applyFont="1" applyBorder="1"/>
    <xf numFmtId="3" fontId="25" fillId="0" borderId="3" xfId="0" applyNumberFormat="1" applyFont="1" applyBorder="1"/>
    <xf numFmtId="165" fontId="25" fillId="0" borderId="3" xfId="1" applyNumberFormat="1" applyFont="1" applyBorder="1"/>
    <xf numFmtId="49" fontId="25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3" fontId="25" fillId="0" borderId="6" xfId="0" applyNumberFormat="1" applyFont="1" applyBorder="1"/>
    <xf numFmtId="165" fontId="25" fillId="0" borderId="6" xfId="1" applyNumberFormat="1" applyFont="1" applyBorder="1"/>
    <xf numFmtId="49" fontId="25" fillId="0" borderId="14" xfId="0" applyNumberFormat="1" applyFont="1" applyBorder="1" applyAlignment="1">
      <alignment horizontal="center"/>
    </xf>
    <xf numFmtId="49" fontId="25" fillId="0" borderId="6" xfId="1" applyNumberFormat="1" applyFont="1" applyBorder="1" applyAlignment="1">
      <alignment horizontal="center" vertical="center"/>
    </xf>
    <xf numFmtId="169" fontId="25" fillId="0" borderId="6" xfId="1" applyNumberFormat="1" applyFont="1" applyBorder="1" applyAlignment="1">
      <alignment horizontal="center" vertical="center"/>
    </xf>
    <xf numFmtId="0" fontId="25" fillId="0" borderId="7" xfId="0" applyFont="1" applyBorder="1"/>
    <xf numFmtId="49" fontId="25" fillId="0" borderId="7" xfId="1" applyNumberFormat="1" applyFont="1" applyBorder="1" applyAlignment="1">
      <alignment horizontal="center" vertical="center"/>
    </xf>
    <xf numFmtId="49" fontId="25" fillId="0" borderId="7" xfId="1" applyNumberFormat="1" applyFont="1" applyBorder="1"/>
    <xf numFmtId="165" fontId="25" fillId="0" borderId="7" xfId="1" applyNumberFormat="1" applyFont="1" applyBorder="1"/>
    <xf numFmtId="14" fontId="25" fillId="0" borderId="3" xfId="0" applyNumberFormat="1" applyFont="1" applyBorder="1" applyAlignment="1">
      <alignment horizontal="center" vertical="center" wrapText="1"/>
    </xf>
    <xf numFmtId="165" fontId="27" fillId="0" borderId="0" xfId="1" applyNumberFormat="1" applyFont="1"/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5" fontId="27" fillId="2" borderId="0" xfId="0" applyNumberFormat="1" applyFont="1" applyFill="1"/>
    <xf numFmtId="165" fontId="1" fillId="0" borderId="14" xfId="1" applyNumberFormat="1" applyFont="1" applyBorder="1"/>
    <xf numFmtId="49" fontId="1" fillId="0" borderId="5" xfId="1" applyNumberFormat="1" applyFont="1" applyBorder="1" applyAlignment="1">
      <alignment horizontal="center"/>
    </xf>
    <xf numFmtId="49" fontId="1" fillId="0" borderId="6" xfId="1" applyNumberFormat="1" applyFont="1" applyBorder="1" applyAlignment="1">
      <alignment horizontal="center"/>
    </xf>
    <xf numFmtId="49" fontId="1" fillId="0" borderId="14" xfId="1" applyNumberFormat="1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25" fillId="0" borderId="14" xfId="0" applyFont="1" applyBorder="1"/>
    <xf numFmtId="49" fontId="25" fillId="0" borderId="14" xfId="1" applyNumberFormat="1" applyFont="1" applyBorder="1" applyAlignment="1">
      <alignment horizontal="center" vertical="center"/>
    </xf>
    <xf numFmtId="3" fontId="25" fillId="0" borderId="14" xfId="0" applyNumberFormat="1" applyFont="1" applyBorder="1"/>
    <xf numFmtId="165" fontId="25" fillId="0" borderId="14" xfId="1" applyNumberFormat="1" applyFont="1" applyBorder="1"/>
    <xf numFmtId="0" fontId="25" fillId="0" borderId="1" xfId="0" applyFont="1" applyBorder="1"/>
    <xf numFmtId="169" fontId="25" fillId="0" borderId="1" xfId="1" applyNumberFormat="1" applyFont="1" applyBorder="1" applyAlignment="1">
      <alignment horizontal="center" vertical="center"/>
    </xf>
    <xf numFmtId="3" fontId="25" fillId="0" borderId="1" xfId="0" applyNumberFormat="1" applyFont="1" applyBorder="1"/>
    <xf numFmtId="165" fontId="25" fillId="0" borderId="1" xfId="1" applyNumberFormat="1" applyFont="1" applyBorder="1"/>
    <xf numFmtId="0" fontId="29" fillId="0" borderId="7" xfId="0" applyFont="1" applyBorder="1"/>
    <xf numFmtId="49" fontId="29" fillId="0" borderId="7" xfId="1" applyNumberFormat="1" applyFont="1" applyBorder="1" applyAlignment="1">
      <alignment horizontal="center" vertical="center"/>
    </xf>
    <xf numFmtId="49" fontId="29" fillId="0" borderId="7" xfId="1" applyNumberFormat="1" applyFont="1" applyBorder="1"/>
    <xf numFmtId="165" fontId="32" fillId="0" borderId="7" xfId="1" applyNumberFormat="1" applyFont="1" applyBorder="1"/>
    <xf numFmtId="169" fontId="1" fillId="0" borderId="6" xfId="1" applyNumberFormat="1" applyFont="1" applyBorder="1" applyAlignment="1">
      <alignment horizontal="center"/>
    </xf>
    <xf numFmtId="49" fontId="1" fillId="0" borderId="9" xfId="1" applyNumberFormat="1" applyFont="1" applyBorder="1" applyAlignment="1">
      <alignment horizontal="center"/>
    </xf>
    <xf numFmtId="164" fontId="27" fillId="0" borderId="0" xfId="1" applyFont="1"/>
    <xf numFmtId="49" fontId="1" fillId="0" borderId="14" xfId="1" applyNumberFormat="1" applyFont="1" applyBorder="1"/>
    <xf numFmtId="49" fontId="12" fillId="0" borderId="3" xfId="1" applyNumberFormat="1" applyFont="1" applyBorder="1" applyAlignment="1">
      <alignment horizontal="center"/>
    </xf>
    <xf numFmtId="3" fontId="12" fillId="0" borderId="3" xfId="0" applyNumberFormat="1" applyFont="1" applyBorder="1"/>
    <xf numFmtId="3" fontId="12" fillId="0" borderId="2" xfId="0" applyNumberFormat="1" applyFont="1" applyBorder="1"/>
    <xf numFmtId="49" fontId="12" fillId="0" borderId="6" xfId="1" applyNumberFormat="1" applyFont="1" applyBorder="1" applyAlignment="1">
      <alignment horizontal="center"/>
    </xf>
    <xf numFmtId="165" fontId="1" fillId="0" borderId="6" xfId="1" applyNumberFormat="1" applyFont="1" applyBorder="1" applyAlignment="1"/>
    <xf numFmtId="0" fontId="16" fillId="0" borderId="6" xfId="0" applyFont="1" applyBorder="1" applyAlignment="1">
      <alignment horizontal="center" wrapText="1"/>
    </xf>
    <xf numFmtId="49" fontId="12" fillId="0" borderId="7" xfId="1" applyNumberFormat="1" applyFont="1" applyBorder="1" applyAlignment="1">
      <alignment horizontal="center"/>
    </xf>
    <xf numFmtId="49" fontId="29" fillId="0" borderId="1" xfId="1" applyNumberFormat="1" applyFont="1" applyBorder="1" applyAlignment="1">
      <alignment horizontal="center"/>
    </xf>
    <xf numFmtId="169" fontId="12" fillId="0" borderId="6" xfId="1" applyNumberFormat="1" applyFont="1" applyBorder="1" applyAlignment="1">
      <alignment horizontal="center"/>
    </xf>
    <xf numFmtId="49" fontId="1" fillId="0" borderId="7" xfId="1" applyNumberFormat="1" applyFont="1" applyBorder="1" applyAlignment="1">
      <alignment horizontal="center"/>
    </xf>
    <xf numFmtId="49" fontId="25" fillId="0" borderId="7" xfId="1" applyNumberFormat="1" applyFont="1" applyBorder="1" applyAlignment="1">
      <alignment horizontal="center"/>
    </xf>
    <xf numFmtId="169" fontId="25" fillId="0" borderId="1" xfId="1" applyNumberFormat="1" applyFont="1" applyBorder="1" applyAlignment="1">
      <alignment horizontal="center"/>
    </xf>
    <xf numFmtId="169" fontId="25" fillId="0" borderId="6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29" fillId="0" borderId="7" xfId="1" applyNumberFormat="1" applyFont="1" applyBorder="1" applyAlignment="1">
      <alignment horizontal="center"/>
    </xf>
    <xf numFmtId="0" fontId="33" fillId="2" borderId="0" xfId="0" applyFont="1" applyFill="1"/>
    <xf numFmtId="0" fontId="25" fillId="0" borderId="3" xfId="0" applyFont="1" applyBorder="1" applyAlignment="1">
      <alignment vertical="center"/>
    </xf>
    <xf numFmtId="0" fontId="29" fillId="0" borderId="3" xfId="0" applyFont="1" applyBorder="1"/>
    <xf numFmtId="0" fontId="29" fillId="0" borderId="14" xfId="0" applyFont="1" applyBorder="1"/>
    <xf numFmtId="49" fontId="29" fillId="0" borderId="3" xfId="1" applyNumberFormat="1" applyFont="1" applyBorder="1" applyAlignment="1">
      <alignment horizontal="center"/>
    </xf>
    <xf numFmtId="49" fontId="29" fillId="0" borderId="3" xfId="1" applyNumberFormat="1" applyFont="1" applyBorder="1"/>
    <xf numFmtId="165" fontId="29" fillId="0" borderId="3" xfId="1" applyNumberFormat="1" applyFont="1" applyBorder="1"/>
    <xf numFmtId="0" fontId="32" fillId="0" borderId="1" xfId="0" applyFont="1" applyBorder="1" applyAlignment="1">
      <alignment vertical="center"/>
    </xf>
    <xf numFmtId="49" fontId="22" fillId="0" borderId="7" xfId="1" applyNumberFormat="1" applyFont="1" applyBorder="1" applyAlignment="1">
      <alignment horizontal="center"/>
    </xf>
    <xf numFmtId="165" fontId="22" fillId="0" borderId="1" xfId="1" applyNumberFormat="1" applyFont="1" applyBorder="1"/>
    <xf numFmtId="49" fontId="25" fillId="0" borderId="5" xfId="0" applyNumberFormat="1" applyFont="1" applyBorder="1"/>
    <xf numFmtId="165" fontId="25" fillId="0" borderId="5" xfId="1" applyNumberFormat="1" applyFont="1" applyBorder="1"/>
    <xf numFmtId="0" fontId="25" fillId="0" borderId="9" xfId="0" applyFont="1" applyBorder="1"/>
    <xf numFmtId="0" fontId="25" fillId="0" borderId="18" xfId="0" applyFont="1" applyBorder="1" applyAlignment="1">
      <alignment horizontal="center"/>
    </xf>
    <xf numFmtId="171" fontId="25" fillId="0" borderId="6" xfId="0" applyNumberFormat="1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3" fontId="25" fillId="0" borderId="5" xfId="0" applyNumberFormat="1" applyFont="1" applyBorder="1"/>
    <xf numFmtId="0" fontId="25" fillId="0" borderId="19" xfId="0" applyFont="1" applyBorder="1"/>
    <xf numFmtId="0" fontId="25" fillId="0" borderId="9" xfId="0" applyFont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0" borderId="3" xfId="0" applyFont="1" applyBorder="1"/>
    <xf numFmtId="169" fontId="32" fillId="0" borderId="1" xfId="1" applyNumberFormat="1" applyFont="1" applyBorder="1" applyAlignment="1">
      <alignment horizontal="center"/>
    </xf>
    <xf numFmtId="3" fontId="32" fillId="0" borderId="2" xfId="0" applyNumberFormat="1" applyFont="1" applyBorder="1"/>
    <xf numFmtId="165" fontId="32" fillId="0" borderId="2" xfId="1" applyNumberFormat="1" applyFont="1" applyBorder="1"/>
    <xf numFmtId="14" fontId="25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4" fontId="28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</cellXfs>
  <cellStyles count="8">
    <cellStyle name="Comma" xfId="1" builtinId="3"/>
    <cellStyle name="Comma 2" xfId="4" xr:uid="{E8F88A43-1A7C-4FA7-B7E0-3F74EBC44583}"/>
    <cellStyle name="Comma 3" xfId="7" xr:uid="{53BF0BEE-1707-42F1-BDF0-8B468A394C3A}"/>
    <cellStyle name="Comma 4" xfId="6" xr:uid="{4FE210F7-C60D-4A02-9A41-2357F20F6065}"/>
    <cellStyle name="Comma 5" xfId="3" xr:uid="{C4969DDC-215D-45B6-A040-E45C8DA8996B}"/>
    <cellStyle name="Normal" xfId="0" builtinId="0"/>
    <cellStyle name="Normal 2" xfId="5" xr:uid="{418165E4-1A00-40FC-BACE-94DF9A41D36A}"/>
    <cellStyle name="Normal 3" xfId="2" xr:uid="{4B92E9C6-F959-4EC2-9349-2E8F1D3D1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894E-32BF-4534-8A54-263BB4D6E262}">
  <dimension ref="A1:Q428"/>
  <sheetViews>
    <sheetView topLeftCell="A52" zoomScaleNormal="100" workbookViewId="0">
      <selection activeCell="I56" sqref="I56"/>
    </sheetView>
  </sheetViews>
  <sheetFormatPr defaultRowHeight="13.8"/>
  <cols>
    <col min="1" max="1" width="5.796875" customWidth="1"/>
    <col min="2" max="2" width="24.59765625" customWidth="1"/>
    <col min="3" max="3" width="8.8984375" style="34" customWidth="1"/>
    <col min="4" max="4" width="6.796875" customWidth="1"/>
    <col min="5" max="5" width="7.8984375" style="34" customWidth="1"/>
    <col min="6" max="6" width="4.8984375" customWidth="1"/>
    <col min="7" max="7" width="10.09765625" customWidth="1"/>
    <col min="8" max="8" width="13.296875" customWidth="1"/>
    <col min="9" max="9" width="43" customWidth="1"/>
    <col min="10" max="10" width="10.296875" bestFit="1" customWidth="1"/>
  </cols>
  <sheetData>
    <row r="1" spans="1:17" ht="15.6">
      <c r="A1" s="6" t="s">
        <v>0</v>
      </c>
      <c r="B1" s="6"/>
    </row>
    <row r="2" spans="1:17" s="110" customFormat="1" ht="16.8" customHeight="1">
      <c r="A2" s="347" t="s">
        <v>267</v>
      </c>
      <c r="B2" s="347"/>
      <c r="C2" s="347"/>
      <c r="D2" s="347"/>
      <c r="E2" s="347"/>
      <c r="F2" s="347"/>
      <c r="G2" s="347"/>
      <c r="H2" s="347"/>
      <c r="I2" s="181">
        <f>1996200/15</f>
        <v>133080</v>
      </c>
    </row>
    <row r="3" spans="1:17" s="110" customFormat="1" ht="16.2" customHeight="1">
      <c r="A3" s="109"/>
      <c r="B3" s="348" t="s">
        <v>294</v>
      </c>
      <c r="C3" s="348"/>
      <c r="D3" s="348"/>
      <c r="E3" s="348"/>
      <c r="F3" s="348"/>
      <c r="G3" s="348"/>
      <c r="H3" s="348"/>
    </row>
    <row r="4" spans="1:17" s="117" customFormat="1" ht="15" customHeight="1">
      <c r="A4" s="349" t="s">
        <v>295</v>
      </c>
      <c r="B4" s="208" t="s">
        <v>11</v>
      </c>
      <c r="C4" s="112">
        <f>E4/D4</f>
        <v>0.12149122807017544</v>
      </c>
      <c r="D4" s="213">
        <v>228</v>
      </c>
      <c r="E4" s="158">
        <v>27.7</v>
      </c>
      <c r="F4" s="113" t="s">
        <v>1</v>
      </c>
      <c r="G4" s="308">
        <v>21000</v>
      </c>
      <c r="H4" s="115">
        <f>E4*G4</f>
        <v>581700</v>
      </c>
      <c r="I4" s="182" t="e">
        <f>#REF!-#REF!</f>
        <v>#REF!</v>
      </c>
    </row>
    <row r="5" spans="1:17" s="117" customFormat="1" ht="15" customHeight="1">
      <c r="A5" s="350"/>
      <c r="B5" s="38" t="s">
        <v>6</v>
      </c>
      <c r="C5" s="38">
        <f>E5/D5</f>
        <v>7.0175438596491224E-2</v>
      </c>
      <c r="D5" s="213">
        <v>228</v>
      </c>
      <c r="E5" s="163">
        <v>16</v>
      </c>
      <c r="F5" s="38" t="s">
        <v>1</v>
      </c>
      <c r="G5" s="120">
        <v>141750</v>
      </c>
      <c r="H5" s="121">
        <f>E5*G5</f>
        <v>2268000</v>
      </c>
      <c r="I5" s="123">
        <f>I6*17000</f>
        <v>0</v>
      </c>
    </row>
    <row r="6" spans="1:17" s="117" customFormat="1" ht="15" customHeight="1">
      <c r="A6" s="350"/>
      <c r="B6" s="38" t="s">
        <v>34</v>
      </c>
      <c r="C6" s="38">
        <f t="shared" ref="C6:C7" si="0">E6/D6</f>
        <v>3.0701754385964912E-3</v>
      </c>
      <c r="D6" s="164">
        <v>228</v>
      </c>
      <c r="E6" s="309" t="s">
        <v>35</v>
      </c>
      <c r="F6" s="38" t="s">
        <v>1</v>
      </c>
      <c r="G6" s="120">
        <v>304500</v>
      </c>
      <c r="H6" s="121">
        <f t="shared" ref="H6:H10" si="1">E6*G6</f>
        <v>213150</v>
      </c>
    </row>
    <row r="7" spans="1:17" s="117" customFormat="1" ht="15" customHeight="1">
      <c r="A7" s="350"/>
      <c r="B7" s="38" t="s">
        <v>36</v>
      </c>
      <c r="C7" s="38">
        <f t="shared" si="0"/>
        <v>3.2017543859649125E-2</v>
      </c>
      <c r="D7" s="213">
        <v>228</v>
      </c>
      <c r="E7" s="309" t="s">
        <v>152</v>
      </c>
      <c r="F7" s="38" t="s">
        <v>1</v>
      </c>
      <c r="G7" s="120">
        <v>67200</v>
      </c>
      <c r="H7" s="121">
        <f t="shared" si="1"/>
        <v>490560</v>
      </c>
      <c r="I7" s="135"/>
    </row>
    <row r="8" spans="1:17" s="117" customFormat="1" ht="15" customHeight="1">
      <c r="A8" s="350"/>
      <c r="B8" s="38" t="s">
        <v>55</v>
      </c>
      <c r="C8" s="163"/>
      <c r="D8" s="164">
        <v>228</v>
      </c>
      <c r="E8" s="163">
        <v>0.1</v>
      </c>
      <c r="F8" s="38" t="s">
        <v>4</v>
      </c>
      <c r="G8" s="120">
        <v>36750</v>
      </c>
      <c r="H8" s="121">
        <f t="shared" si="1"/>
        <v>3675</v>
      </c>
    </row>
    <row r="9" spans="1:17" s="117" customFormat="1" ht="15" customHeight="1">
      <c r="A9" s="350"/>
      <c r="B9" s="38" t="s">
        <v>198</v>
      </c>
      <c r="C9" s="144"/>
      <c r="D9" s="38"/>
      <c r="E9" s="309" t="s">
        <v>219</v>
      </c>
      <c r="F9" s="38" t="s">
        <v>1</v>
      </c>
      <c r="G9" s="120">
        <v>31500</v>
      </c>
      <c r="H9" s="121">
        <f t="shared" si="1"/>
        <v>166950</v>
      </c>
      <c r="I9" s="124">
        <f>228*17000</f>
        <v>3876000</v>
      </c>
      <c r="K9" s="208" t="s">
        <v>22</v>
      </c>
      <c r="L9" s="171">
        <f>N9/M9</f>
        <v>0.12202643171806167</v>
      </c>
      <c r="M9" s="38">
        <v>227</v>
      </c>
      <c r="N9" s="306" t="s">
        <v>121</v>
      </c>
      <c r="O9" s="160" t="s">
        <v>1</v>
      </c>
      <c r="P9" s="307">
        <v>21000</v>
      </c>
      <c r="Q9" s="161">
        <f>N9*P9</f>
        <v>581700</v>
      </c>
    </row>
    <row r="10" spans="1:17" s="117" customFormat="1" ht="15" customHeight="1">
      <c r="A10" s="350"/>
      <c r="B10" s="38" t="s">
        <v>12</v>
      </c>
      <c r="C10" s="38"/>
      <c r="D10" s="38"/>
      <c r="E10" s="163">
        <v>0.1</v>
      </c>
      <c r="F10" s="38" t="s">
        <v>1</v>
      </c>
      <c r="G10" s="120">
        <v>57750</v>
      </c>
      <c r="H10" s="121">
        <f t="shared" si="1"/>
        <v>5775</v>
      </c>
      <c r="K10" s="160" t="s">
        <v>184</v>
      </c>
      <c r="L10" s="142">
        <f t="shared" ref="L10:L12" si="2">N10/M10</f>
        <v>7.4889867841409691E-2</v>
      </c>
      <c r="M10" s="38">
        <v>227</v>
      </c>
      <c r="N10" s="306" t="s">
        <v>284</v>
      </c>
      <c r="O10" s="38" t="s">
        <v>1</v>
      </c>
      <c r="P10" s="307">
        <v>131250</v>
      </c>
      <c r="Q10" s="121">
        <f>P10*N10</f>
        <v>2231250</v>
      </c>
    </row>
    <row r="11" spans="1:17" s="117" customFormat="1" ht="15" customHeight="1">
      <c r="A11" s="351"/>
      <c r="B11" s="125" t="s">
        <v>25</v>
      </c>
      <c r="C11" s="125"/>
      <c r="D11" s="125"/>
      <c r="E11" s="312"/>
      <c r="F11" s="127"/>
      <c r="G11" s="125"/>
      <c r="H11" s="121">
        <f>144155+2035</f>
        <v>146190</v>
      </c>
      <c r="I11" s="117">
        <v>130426</v>
      </c>
      <c r="K11" s="38" t="s">
        <v>153</v>
      </c>
      <c r="L11" s="142">
        <f t="shared" si="2"/>
        <v>4.4052863436123352E-3</v>
      </c>
      <c r="M11" s="164">
        <v>227</v>
      </c>
      <c r="N11" s="163">
        <v>1</v>
      </c>
      <c r="O11" s="38" t="s">
        <v>4</v>
      </c>
      <c r="P11" s="120">
        <v>141750</v>
      </c>
      <c r="Q11" s="121">
        <f t="shared" ref="Q11" si="3">N11*P11</f>
        <v>141750</v>
      </c>
    </row>
    <row r="12" spans="1:17" s="148" customFormat="1" ht="18.600000000000001" customHeight="1">
      <c r="A12" s="149"/>
      <c r="B12" s="150"/>
      <c r="C12" s="151"/>
      <c r="D12" s="151"/>
      <c r="E12" s="313"/>
      <c r="F12" s="153"/>
      <c r="G12" s="150"/>
      <c r="H12" s="154">
        <f>SUM(H4:H11)</f>
        <v>3876000</v>
      </c>
      <c r="I12" s="183">
        <f>H12-I9</f>
        <v>0</v>
      </c>
      <c r="K12" s="38" t="s">
        <v>7</v>
      </c>
      <c r="L12" s="144">
        <f t="shared" si="2"/>
        <v>0.5506607929515418</v>
      </c>
      <c r="M12" s="164">
        <v>227</v>
      </c>
      <c r="N12" s="309" t="s">
        <v>283</v>
      </c>
      <c r="O12" s="38" t="s">
        <v>271</v>
      </c>
      <c r="P12" s="120">
        <v>3510</v>
      </c>
      <c r="Q12" s="121">
        <f>N12*P12</f>
        <v>438750</v>
      </c>
    </row>
    <row r="13" spans="1:17" s="117" customFormat="1" ht="15" customHeight="1">
      <c r="A13" s="122"/>
      <c r="B13" s="98" t="s">
        <v>11</v>
      </c>
      <c r="C13" s="100">
        <f>E13/D13</f>
        <v>0.12168141592920353</v>
      </c>
      <c r="D13" s="213">
        <v>226</v>
      </c>
      <c r="E13" s="186" t="s">
        <v>161</v>
      </c>
      <c r="F13" s="113" t="s">
        <v>1</v>
      </c>
      <c r="G13" s="141">
        <v>21000</v>
      </c>
      <c r="H13" s="310">
        <f>E13*G13</f>
        <v>577500</v>
      </c>
      <c r="I13" s="117">
        <f>4205303-3893000</f>
        <v>312303</v>
      </c>
      <c r="K13" s="38" t="s">
        <v>280</v>
      </c>
      <c r="L13" s="144"/>
      <c r="M13" s="38"/>
      <c r="N13" s="309" t="s">
        <v>189</v>
      </c>
      <c r="O13" s="38" t="s">
        <v>188</v>
      </c>
      <c r="P13" s="120">
        <v>75600</v>
      </c>
      <c r="Q13" s="121">
        <f>N13*P13</f>
        <v>151200</v>
      </c>
    </row>
    <row r="14" spans="1:17" s="117" customFormat="1" ht="15" customHeight="1">
      <c r="A14" s="350" t="s">
        <v>296</v>
      </c>
      <c r="B14" s="311" t="s">
        <v>129</v>
      </c>
      <c r="C14" s="101">
        <f>E14/D14</f>
        <v>0.10265486725663717</v>
      </c>
      <c r="D14" s="17">
        <v>226</v>
      </c>
      <c r="E14" s="42">
        <v>23.2</v>
      </c>
      <c r="F14" s="17" t="s">
        <v>1</v>
      </c>
      <c r="G14" s="18">
        <v>87150</v>
      </c>
      <c r="H14" s="310">
        <f>E14*G14</f>
        <v>2021880</v>
      </c>
      <c r="K14" s="38" t="s">
        <v>197</v>
      </c>
      <c r="L14" s="144"/>
      <c r="M14" s="38"/>
      <c r="N14" s="309" t="s">
        <v>189</v>
      </c>
      <c r="O14" s="38" t="s">
        <v>4</v>
      </c>
      <c r="P14" s="120">
        <v>44280</v>
      </c>
      <c r="Q14" s="121">
        <f>N14*P14</f>
        <v>88560</v>
      </c>
    </row>
    <row r="15" spans="1:17" s="117" customFormat="1" ht="19.2" customHeight="1">
      <c r="A15" s="350"/>
      <c r="B15" s="38" t="s">
        <v>36</v>
      </c>
      <c r="C15" s="38">
        <f t="shared" ref="C15:C16" si="4">E15/D15</f>
        <v>4.8230088495575224E-2</v>
      </c>
      <c r="D15" s="38">
        <v>226</v>
      </c>
      <c r="E15" s="309" t="s">
        <v>305</v>
      </c>
      <c r="F15" s="38" t="s">
        <v>1</v>
      </c>
      <c r="G15" s="120">
        <v>67200</v>
      </c>
      <c r="H15" s="310">
        <f t="shared" ref="H15:H21" si="5">E15*G15</f>
        <v>732480</v>
      </c>
      <c r="I15" s="124">
        <f>230*17000</f>
        <v>3910000</v>
      </c>
      <c r="K15" s="38" t="s">
        <v>282</v>
      </c>
      <c r="L15" s="144"/>
      <c r="M15" s="38"/>
      <c r="N15" s="309" t="s">
        <v>201</v>
      </c>
      <c r="O15" s="38" t="s">
        <v>4</v>
      </c>
      <c r="P15" s="120">
        <v>24150</v>
      </c>
      <c r="Q15" s="121">
        <f>N15*P15</f>
        <v>123164.99999999999</v>
      </c>
    </row>
    <row r="16" spans="1:17" s="117" customFormat="1" ht="15" customHeight="1">
      <c r="A16" s="350"/>
      <c r="B16" s="38" t="s">
        <v>153</v>
      </c>
      <c r="C16" s="142">
        <f t="shared" si="4"/>
        <v>4.4247787610619468E-3</v>
      </c>
      <c r="D16" s="164">
        <v>226</v>
      </c>
      <c r="E16" s="163">
        <v>1</v>
      </c>
      <c r="F16" s="38" t="s">
        <v>4</v>
      </c>
      <c r="G16" s="120">
        <v>141750</v>
      </c>
      <c r="H16" s="310">
        <f t="shared" si="5"/>
        <v>141750</v>
      </c>
      <c r="K16" s="38" t="s">
        <v>41</v>
      </c>
      <c r="L16" s="142"/>
      <c r="M16" s="38"/>
      <c r="N16" s="309" t="s">
        <v>46</v>
      </c>
      <c r="O16" s="38" t="s">
        <v>4</v>
      </c>
      <c r="P16" s="120">
        <v>36750</v>
      </c>
      <c r="Q16" s="121">
        <f t="shared" ref="Q16:Q17" si="6">N16*P16</f>
        <v>3675</v>
      </c>
    </row>
    <row r="17" spans="1:17" s="117" customFormat="1" ht="15" customHeight="1">
      <c r="A17" s="350"/>
      <c r="B17" s="213" t="s">
        <v>275</v>
      </c>
      <c r="C17" s="272"/>
      <c r="D17" s="213"/>
      <c r="E17" s="188" t="s">
        <v>277</v>
      </c>
      <c r="F17" s="213" t="s">
        <v>4</v>
      </c>
      <c r="G17" s="270">
        <v>25200</v>
      </c>
      <c r="H17" s="310">
        <f t="shared" si="5"/>
        <v>100800</v>
      </c>
      <c r="K17" s="38" t="s">
        <v>12</v>
      </c>
      <c r="L17" s="163"/>
      <c r="M17" s="38"/>
      <c r="N17" s="314">
        <v>0.1</v>
      </c>
      <c r="O17" s="38" t="s">
        <v>1</v>
      </c>
      <c r="P17" s="120">
        <v>57750</v>
      </c>
      <c r="Q17" s="121">
        <f t="shared" si="6"/>
        <v>5775</v>
      </c>
    </row>
    <row r="18" spans="1:17" s="117" customFormat="1" ht="15" customHeight="1">
      <c r="A18" s="350"/>
      <c r="B18" s="213" t="s">
        <v>276</v>
      </c>
      <c r="C18" s="272"/>
      <c r="D18" s="213"/>
      <c r="E18" s="188" t="s">
        <v>68</v>
      </c>
      <c r="F18" s="213" t="s">
        <v>1</v>
      </c>
      <c r="G18" s="270">
        <v>22050</v>
      </c>
      <c r="H18" s="310">
        <f t="shared" si="5"/>
        <v>110250</v>
      </c>
      <c r="K18" s="125" t="s">
        <v>25</v>
      </c>
      <c r="L18" s="125"/>
      <c r="M18" s="125"/>
      <c r="N18" s="312"/>
      <c r="O18" s="127"/>
      <c r="P18" s="125"/>
      <c r="Q18" s="133">
        <f>144155+20</f>
        <v>144175</v>
      </c>
    </row>
    <row r="19" spans="1:17" s="117" customFormat="1" ht="15" customHeight="1">
      <c r="A19" s="350"/>
      <c r="B19" s="213" t="s">
        <v>41</v>
      </c>
      <c r="C19" s="268"/>
      <c r="D19" s="213"/>
      <c r="E19" s="188" t="s">
        <v>46</v>
      </c>
      <c r="F19" s="213" t="s">
        <v>4</v>
      </c>
      <c r="G19" s="120">
        <v>36750</v>
      </c>
      <c r="H19" s="310">
        <f t="shared" si="5"/>
        <v>3675</v>
      </c>
    </row>
    <row r="20" spans="1:17" s="117" customFormat="1" ht="15" customHeight="1">
      <c r="A20" s="350"/>
      <c r="B20" s="213" t="s">
        <v>300</v>
      </c>
      <c r="C20" s="268"/>
      <c r="D20" s="213"/>
      <c r="E20" s="188" t="s">
        <v>46</v>
      </c>
      <c r="F20" s="213" t="s">
        <v>4</v>
      </c>
      <c r="G20" s="120">
        <v>47250</v>
      </c>
      <c r="H20" s="310">
        <f t="shared" ref="H20" si="7">E20*G20</f>
        <v>4725</v>
      </c>
    </row>
    <row r="21" spans="1:17" s="117" customFormat="1" ht="15" customHeight="1">
      <c r="A21" s="350"/>
      <c r="B21" s="213" t="s">
        <v>12</v>
      </c>
      <c r="C21" s="216"/>
      <c r="D21" s="213"/>
      <c r="E21" s="318">
        <v>0.1</v>
      </c>
      <c r="F21" s="213" t="s">
        <v>1</v>
      </c>
      <c r="G21" s="120">
        <v>57750</v>
      </c>
      <c r="H21" s="310">
        <f t="shared" si="5"/>
        <v>5775</v>
      </c>
    </row>
    <row r="22" spans="1:17" s="117" customFormat="1" ht="15" customHeight="1">
      <c r="A22" s="350"/>
      <c r="B22" s="275" t="s">
        <v>25</v>
      </c>
      <c r="C22" s="275"/>
      <c r="D22" s="275"/>
      <c r="E22" s="316"/>
      <c r="F22" s="277"/>
      <c r="G22" s="275"/>
      <c r="H22" s="310">
        <f>144155-1525+535</f>
        <v>143165</v>
      </c>
      <c r="I22" s="123">
        <f>D13*17000</f>
        <v>3842000</v>
      </c>
    </row>
    <row r="23" spans="1:17" s="155" customFormat="1" ht="20.399999999999999" customHeight="1">
      <c r="A23" s="328"/>
      <c r="B23" s="102"/>
      <c r="C23" s="102"/>
      <c r="D23" s="102"/>
      <c r="E23" s="329"/>
      <c r="F23" s="103"/>
      <c r="G23" s="102"/>
      <c r="H23" s="330">
        <f>SUM(H13:H22)</f>
        <v>3842000</v>
      </c>
      <c r="I23" s="183">
        <f>I22-H23</f>
        <v>0</v>
      </c>
    </row>
    <row r="24" spans="1:17" s="134" customFormat="1" ht="20.399999999999999" customHeight="1">
      <c r="A24" s="353" t="s">
        <v>297</v>
      </c>
      <c r="B24" s="208" t="s">
        <v>22</v>
      </c>
      <c r="C24" s="171">
        <f>E24/D24</f>
        <v>0.12202643171806167</v>
      </c>
      <c r="D24" s="38">
        <v>227</v>
      </c>
      <c r="E24" s="306" t="s">
        <v>121</v>
      </c>
      <c r="F24" s="160" t="s">
        <v>1</v>
      </c>
      <c r="G24" s="307">
        <v>21000</v>
      </c>
      <c r="H24" s="161">
        <f>E24*G24</f>
        <v>581700</v>
      </c>
      <c r="I24" s="217"/>
    </row>
    <row r="25" spans="1:17" s="134" customFormat="1" ht="20.399999999999999" customHeight="1">
      <c r="A25" s="354"/>
      <c r="B25" s="160" t="s">
        <v>184</v>
      </c>
      <c r="C25" s="142">
        <f t="shared" ref="C25:C27" si="8">E25/D25</f>
        <v>7.0484581497797363E-2</v>
      </c>
      <c r="D25" s="38">
        <v>227</v>
      </c>
      <c r="E25" s="306" t="s">
        <v>96</v>
      </c>
      <c r="F25" s="38" t="s">
        <v>1</v>
      </c>
      <c r="G25" s="307">
        <v>131250</v>
      </c>
      <c r="H25" s="121">
        <f>G25*E25</f>
        <v>2100000</v>
      </c>
      <c r="I25" s="217"/>
    </row>
    <row r="26" spans="1:17" s="134" customFormat="1" ht="20.399999999999999" customHeight="1">
      <c r="A26" s="354"/>
      <c r="B26" s="38" t="s">
        <v>153</v>
      </c>
      <c r="C26" s="142">
        <f t="shared" si="8"/>
        <v>4.4052863436123352E-3</v>
      </c>
      <c r="D26" s="164">
        <v>227</v>
      </c>
      <c r="E26" s="163">
        <v>1</v>
      </c>
      <c r="F26" s="38" t="s">
        <v>4</v>
      </c>
      <c r="G26" s="120">
        <v>141750</v>
      </c>
      <c r="H26" s="121">
        <f t="shared" ref="H26" si="9">E26*G26</f>
        <v>141750</v>
      </c>
      <c r="I26" s="217"/>
    </row>
    <row r="27" spans="1:17" s="134" customFormat="1" ht="20.399999999999999" customHeight="1">
      <c r="A27" s="354"/>
      <c r="B27" s="38" t="s">
        <v>7</v>
      </c>
      <c r="C27" s="144">
        <f t="shared" si="8"/>
        <v>0.55947136563876654</v>
      </c>
      <c r="D27" s="164">
        <v>227</v>
      </c>
      <c r="E27" s="309" t="s">
        <v>301</v>
      </c>
      <c r="F27" s="38" t="s">
        <v>271</v>
      </c>
      <c r="G27" s="120">
        <v>3510</v>
      </c>
      <c r="H27" s="121">
        <f>E27*G27</f>
        <v>445770</v>
      </c>
      <c r="I27" s="217">
        <f>228*17000</f>
        <v>3876000</v>
      </c>
    </row>
    <row r="28" spans="1:17" s="134" customFormat="1" ht="20.399999999999999" customHeight="1">
      <c r="A28" s="354"/>
      <c r="B28" s="38" t="s">
        <v>280</v>
      </c>
      <c r="C28" s="144"/>
      <c r="D28" s="38"/>
      <c r="E28" s="309" t="s">
        <v>48</v>
      </c>
      <c r="F28" s="38" t="s">
        <v>188</v>
      </c>
      <c r="G28" s="120">
        <v>75600</v>
      </c>
      <c r="H28" s="121">
        <f>E28*G28</f>
        <v>226800</v>
      </c>
      <c r="I28" s="217"/>
    </row>
    <row r="29" spans="1:17" s="134" customFormat="1" ht="20.399999999999999" customHeight="1">
      <c r="A29" s="354"/>
      <c r="B29" s="38" t="s">
        <v>197</v>
      </c>
      <c r="C29" s="144"/>
      <c r="D29" s="38"/>
      <c r="E29" s="309" t="s">
        <v>189</v>
      </c>
      <c r="F29" s="38" t="s">
        <v>4</v>
      </c>
      <c r="G29" s="120">
        <v>44280</v>
      </c>
      <c r="H29" s="121">
        <f>E29*G29</f>
        <v>88560</v>
      </c>
      <c r="I29" s="217"/>
    </row>
    <row r="30" spans="1:17" s="134" customFormat="1" ht="20.399999999999999" customHeight="1">
      <c r="A30" s="354"/>
      <c r="B30" s="38" t="s">
        <v>282</v>
      </c>
      <c r="C30" s="144"/>
      <c r="D30" s="38"/>
      <c r="E30" s="309" t="s">
        <v>68</v>
      </c>
      <c r="F30" s="38" t="s">
        <v>4</v>
      </c>
      <c r="G30" s="120">
        <v>24150</v>
      </c>
      <c r="H30" s="121">
        <f>E30*G30</f>
        <v>120750</v>
      </c>
      <c r="I30" s="217">
        <f>H33-I27</f>
        <v>-3731780</v>
      </c>
    </row>
    <row r="31" spans="1:17" s="134" customFormat="1" ht="20.399999999999999" customHeight="1">
      <c r="A31" s="354"/>
      <c r="B31" s="38" t="s">
        <v>41</v>
      </c>
      <c r="C31" s="142"/>
      <c r="D31" s="38"/>
      <c r="E31" s="309" t="s">
        <v>46</v>
      </c>
      <c r="F31" s="38" t="s">
        <v>4</v>
      </c>
      <c r="G31" s="120">
        <v>36750</v>
      </c>
      <c r="H31" s="121">
        <f t="shared" ref="H31:H32" si="10">E31*G31</f>
        <v>3675</v>
      </c>
      <c r="I31" s="217"/>
    </row>
    <row r="32" spans="1:17" s="134" customFormat="1" ht="20.399999999999999" customHeight="1">
      <c r="A32" s="355"/>
      <c r="B32" s="38" t="s">
        <v>12</v>
      </c>
      <c r="C32" s="163"/>
      <c r="D32" s="38"/>
      <c r="E32" s="314">
        <v>0.1</v>
      </c>
      <c r="F32" s="38" t="s">
        <v>1</v>
      </c>
      <c r="G32" s="120">
        <v>57750</v>
      </c>
      <c r="H32" s="121">
        <f t="shared" si="10"/>
        <v>5775</v>
      </c>
      <c r="I32" s="217"/>
    </row>
    <row r="33" spans="1:9" s="134" customFormat="1" ht="20.399999999999999" customHeight="1">
      <c r="A33" s="218"/>
      <c r="B33" s="125" t="s">
        <v>25</v>
      </c>
      <c r="C33" s="125"/>
      <c r="D33" s="125"/>
      <c r="E33" s="312"/>
      <c r="F33" s="127"/>
      <c r="G33" s="125"/>
      <c r="H33" s="133">
        <f>144155+65</f>
        <v>144220</v>
      </c>
      <c r="I33" s="217">
        <f>D24*17000</f>
        <v>3859000</v>
      </c>
    </row>
    <row r="34" spans="1:9" s="155" customFormat="1" ht="20.399999999999999" customHeight="1">
      <c r="A34" s="328"/>
      <c r="B34" s="323"/>
      <c r="C34" s="323"/>
      <c r="D34" s="324"/>
      <c r="E34" s="325"/>
      <c r="F34" s="326"/>
      <c r="G34" s="323"/>
      <c r="H34" s="327">
        <f>SUM(H24:H33)</f>
        <v>3859000</v>
      </c>
      <c r="I34" s="183">
        <f>H34-I33</f>
        <v>0</v>
      </c>
    </row>
    <row r="35" spans="1:9" s="134" customFormat="1" ht="20.399999999999999" customHeight="1">
      <c r="A35" s="352"/>
      <c r="B35" s="111" t="s">
        <v>11</v>
      </c>
      <c r="C35" s="331">
        <f>E35/D35</f>
        <v>0.12168141592920353</v>
      </c>
      <c r="D35" s="38">
        <v>226</v>
      </c>
      <c r="E35" s="184">
        <v>27.5</v>
      </c>
      <c r="F35" s="212" t="s">
        <v>1</v>
      </c>
      <c r="G35" s="114">
        <v>21000</v>
      </c>
      <c r="H35" s="332">
        <f>E35*G35</f>
        <v>577500</v>
      </c>
      <c r="I35" s="217"/>
    </row>
    <row r="36" spans="1:9" s="134" customFormat="1" ht="20.399999999999999" customHeight="1">
      <c r="A36" s="352"/>
      <c r="B36" s="213" t="s">
        <v>42</v>
      </c>
      <c r="C36" s="213">
        <f>E36/D36</f>
        <v>5.6194690265486721E-2</v>
      </c>
      <c r="D36" s="38">
        <v>226</v>
      </c>
      <c r="E36" s="216">
        <v>12.7</v>
      </c>
      <c r="F36" s="213" t="s">
        <v>1</v>
      </c>
      <c r="G36" s="270">
        <v>169560</v>
      </c>
      <c r="H36" s="271">
        <f>E36*G36</f>
        <v>2153412</v>
      </c>
      <c r="I36" s="217"/>
    </row>
    <row r="37" spans="1:9" s="134" customFormat="1" ht="20.399999999999999" customHeight="1">
      <c r="A37" s="352"/>
      <c r="B37" s="213" t="s">
        <v>43</v>
      </c>
      <c r="C37" s="213">
        <f t="shared" ref="C37:C39" si="11">E37/D37</f>
        <v>0.55309734513274333</v>
      </c>
      <c r="D37" s="164">
        <v>226</v>
      </c>
      <c r="E37" s="216">
        <v>125</v>
      </c>
      <c r="F37" s="213" t="s">
        <v>1</v>
      </c>
      <c r="G37" s="270">
        <v>3456</v>
      </c>
      <c r="H37" s="271">
        <f t="shared" ref="H37:H43" si="12">E37*G37</f>
        <v>432000</v>
      </c>
      <c r="I37" s="217"/>
    </row>
    <row r="38" spans="1:9" s="134" customFormat="1" ht="20.399999999999999" customHeight="1">
      <c r="A38" s="346" t="s">
        <v>298</v>
      </c>
      <c r="B38" s="213" t="s">
        <v>44</v>
      </c>
      <c r="C38" s="213">
        <f t="shared" si="11"/>
        <v>2.2123893805309734E-2</v>
      </c>
      <c r="D38" s="164">
        <v>226</v>
      </c>
      <c r="E38" s="216">
        <v>5</v>
      </c>
      <c r="F38" s="213" t="s">
        <v>1</v>
      </c>
      <c r="G38" s="270">
        <v>25200</v>
      </c>
      <c r="H38" s="271">
        <f t="shared" si="12"/>
        <v>126000</v>
      </c>
      <c r="I38" s="217" t="s">
        <v>304</v>
      </c>
    </row>
    <row r="39" spans="1:9" s="134" customFormat="1" ht="20.399999999999999" customHeight="1">
      <c r="A39" s="346"/>
      <c r="B39" s="213" t="s">
        <v>78</v>
      </c>
      <c r="C39" s="268">
        <f t="shared" si="11"/>
        <v>1.3274336283185841E-2</v>
      </c>
      <c r="D39" s="164">
        <v>226</v>
      </c>
      <c r="E39" s="216">
        <v>3</v>
      </c>
      <c r="F39" s="213" t="s">
        <v>4</v>
      </c>
      <c r="G39" s="270">
        <v>78750</v>
      </c>
      <c r="H39" s="271">
        <f t="shared" si="12"/>
        <v>236250</v>
      </c>
      <c r="I39" s="217"/>
    </row>
    <row r="40" spans="1:9" s="134" customFormat="1" ht="20.399999999999999" customHeight="1">
      <c r="A40" s="346"/>
      <c r="B40" s="213" t="s">
        <v>55</v>
      </c>
      <c r="C40" s="216"/>
      <c r="D40" s="213"/>
      <c r="E40" s="216">
        <v>0.1</v>
      </c>
      <c r="F40" s="213" t="s">
        <v>4</v>
      </c>
      <c r="G40" s="270">
        <v>36750</v>
      </c>
      <c r="H40" s="271">
        <f t="shared" si="12"/>
        <v>3675</v>
      </c>
      <c r="I40" s="217"/>
    </row>
    <row r="41" spans="1:9" s="134" customFormat="1" ht="20.399999999999999" customHeight="1">
      <c r="A41" s="346"/>
      <c r="B41" s="333" t="s">
        <v>302</v>
      </c>
      <c r="C41" s="216"/>
      <c r="D41" s="334"/>
      <c r="E41" s="335">
        <v>8.4</v>
      </c>
      <c r="F41" s="213" t="s">
        <v>1</v>
      </c>
      <c r="G41" s="270">
        <v>18900</v>
      </c>
      <c r="H41" s="271">
        <f t="shared" si="12"/>
        <v>158760</v>
      </c>
      <c r="I41" s="217"/>
    </row>
    <row r="42" spans="1:9" s="134" customFormat="1" ht="20.399999999999999" customHeight="1">
      <c r="A42" s="279"/>
      <c r="B42" s="333" t="s">
        <v>303</v>
      </c>
      <c r="C42" s="216"/>
      <c r="D42" s="334"/>
      <c r="E42" s="335">
        <v>0.1</v>
      </c>
      <c r="F42" s="213" t="s">
        <v>4</v>
      </c>
      <c r="G42" s="270">
        <v>42000</v>
      </c>
      <c r="H42" s="271">
        <f t="shared" si="12"/>
        <v>4200</v>
      </c>
      <c r="I42" s="217"/>
    </row>
    <row r="43" spans="1:9" s="134" customFormat="1" ht="20.399999999999999" customHeight="1">
      <c r="A43" s="322"/>
      <c r="B43" s="213" t="s">
        <v>12</v>
      </c>
      <c r="C43" s="213"/>
      <c r="D43" s="213"/>
      <c r="E43" s="216">
        <v>0.1</v>
      </c>
      <c r="F43" s="213" t="s">
        <v>1</v>
      </c>
      <c r="G43" s="270">
        <v>57750</v>
      </c>
      <c r="H43" s="271">
        <f t="shared" si="12"/>
        <v>5775</v>
      </c>
      <c r="I43" s="217"/>
    </row>
    <row r="44" spans="1:9" s="134" customFormat="1" ht="20.399999999999999" customHeight="1">
      <c r="A44" s="322"/>
      <c r="B44" s="275" t="s">
        <v>25</v>
      </c>
      <c r="C44" s="275"/>
      <c r="D44" s="275"/>
      <c r="E44" s="276"/>
      <c r="F44" s="277"/>
      <c r="G44" s="275"/>
      <c r="H44" s="278">
        <f>144155+491+218</f>
        <v>144864</v>
      </c>
      <c r="I44" s="217">
        <f>D35*17000</f>
        <v>3842000</v>
      </c>
    </row>
    <row r="45" spans="1:9" s="155" customFormat="1" ht="20.399999999999999" customHeight="1">
      <c r="A45" s="328"/>
      <c r="B45" s="340"/>
      <c r="C45" s="341"/>
      <c r="D45" s="342"/>
      <c r="E45" s="343"/>
      <c r="F45" s="340"/>
      <c r="G45" s="344"/>
      <c r="H45" s="345">
        <f>SUM(H35:H44)</f>
        <v>3842436</v>
      </c>
      <c r="I45" s="183">
        <f>H45-I44</f>
        <v>436</v>
      </c>
    </row>
    <row r="46" spans="1:9" s="134" customFormat="1" ht="15" customHeight="1">
      <c r="A46" s="346" t="s">
        <v>299</v>
      </c>
      <c r="B46" s="212" t="s">
        <v>22</v>
      </c>
      <c r="C46" s="336">
        <f>E46/D46</f>
        <v>0.12168141592920353</v>
      </c>
      <c r="D46" s="38">
        <v>226</v>
      </c>
      <c r="E46" s="186" t="s">
        <v>161</v>
      </c>
      <c r="F46" s="212" t="s">
        <v>1</v>
      </c>
      <c r="G46" s="337">
        <v>21000</v>
      </c>
      <c r="H46" s="332">
        <f>E46*G46</f>
        <v>577500</v>
      </c>
      <c r="I46" s="284"/>
    </row>
    <row r="47" spans="1:9" s="134" customFormat="1" ht="24.6" customHeight="1">
      <c r="A47" s="346"/>
      <c r="B47" s="213" t="s">
        <v>87</v>
      </c>
      <c r="C47" s="268">
        <f t="shared" ref="C47:C51" si="13">E47/D47</f>
        <v>6.2831858407079638E-2</v>
      </c>
      <c r="D47" s="38">
        <v>226</v>
      </c>
      <c r="E47" s="216">
        <v>14.2</v>
      </c>
      <c r="F47" s="213" t="s">
        <v>1</v>
      </c>
      <c r="G47" s="270">
        <v>140700</v>
      </c>
      <c r="H47" s="271">
        <f>E47*G47-1892</f>
        <v>1996048</v>
      </c>
    </row>
    <row r="48" spans="1:9" s="134" customFormat="1" ht="15" customHeight="1">
      <c r="A48" s="346"/>
      <c r="B48" s="213" t="s">
        <v>256</v>
      </c>
      <c r="C48" s="272">
        <f t="shared" si="13"/>
        <v>3.5398230088495575E-2</v>
      </c>
      <c r="D48" s="164">
        <v>226</v>
      </c>
      <c r="E48" s="191" t="s">
        <v>23</v>
      </c>
      <c r="F48" s="213" t="s">
        <v>1</v>
      </c>
      <c r="G48" s="270">
        <v>81900</v>
      </c>
      <c r="H48" s="271">
        <f>E48*G48</f>
        <v>655200</v>
      </c>
    </row>
    <row r="49" spans="1:9" s="134" customFormat="1" ht="15" customHeight="1">
      <c r="A49" s="346"/>
      <c r="B49" s="213" t="s">
        <v>45</v>
      </c>
      <c r="C49" s="272">
        <f t="shared" si="13"/>
        <v>4.4247787610619468E-3</v>
      </c>
      <c r="D49" s="164">
        <v>226</v>
      </c>
      <c r="E49" s="188" t="s">
        <v>26</v>
      </c>
      <c r="F49" s="213" t="s">
        <v>1</v>
      </c>
      <c r="G49" s="270">
        <v>173250</v>
      </c>
      <c r="H49" s="271">
        <f t="shared" ref="H49:H54" si="14">E49*G49</f>
        <v>173250</v>
      </c>
    </row>
    <row r="50" spans="1:9" s="134" customFormat="1" ht="15" customHeight="1">
      <c r="A50" s="279"/>
      <c r="B50" s="38" t="s">
        <v>280</v>
      </c>
      <c r="C50" s="144">
        <f t="shared" si="13"/>
        <v>8.8495575221238937E-3</v>
      </c>
      <c r="D50" s="38">
        <v>226</v>
      </c>
      <c r="E50" s="309" t="s">
        <v>189</v>
      </c>
      <c r="F50" s="38" t="s">
        <v>188</v>
      </c>
      <c r="G50" s="120">
        <v>75600</v>
      </c>
      <c r="H50" s="121">
        <f>E50*G50</f>
        <v>151200</v>
      </c>
    </row>
    <row r="51" spans="1:9" s="134" customFormat="1" ht="15" customHeight="1">
      <c r="A51" s="279"/>
      <c r="B51" s="213" t="s">
        <v>257</v>
      </c>
      <c r="C51" s="272">
        <f t="shared" si="13"/>
        <v>1.3274336283185841E-2</v>
      </c>
      <c r="D51" s="164">
        <v>226</v>
      </c>
      <c r="E51" s="188" t="s">
        <v>48</v>
      </c>
      <c r="F51" s="213" t="s">
        <v>4</v>
      </c>
      <c r="G51" s="270">
        <v>23100</v>
      </c>
      <c r="H51" s="271">
        <f t="shared" si="14"/>
        <v>69300</v>
      </c>
    </row>
    <row r="52" spans="1:9" s="134" customFormat="1" ht="15" customHeight="1">
      <c r="A52" s="279"/>
      <c r="B52" s="213" t="s">
        <v>258</v>
      </c>
      <c r="C52" s="264"/>
      <c r="D52" s="338"/>
      <c r="E52" s="188" t="s">
        <v>189</v>
      </c>
      <c r="F52" s="213" t="s">
        <v>4</v>
      </c>
      <c r="G52" s="270">
        <v>31500</v>
      </c>
      <c r="H52" s="271">
        <f t="shared" si="14"/>
        <v>63000</v>
      </c>
    </row>
    <row r="53" spans="1:9" s="134" customFormat="1" ht="15" customHeight="1">
      <c r="A53" s="279"/>
      <c r="B53" s="213" t="s">
        <v>66</v>
      </c>
      <c r="C53" s="339"/>
      <c r="D53" s="213"/>
      <c r="E53" s="188" t="s">
        <v>46</v>
      </c>
      <c r="F53" s="213" t="s">
        <v>1</v>
      </c>
      <c r="G53" s="270">
        <v>60900</v>
      </c>
      <c r="H53" s="271">
        <f t="shared" si="14"/>
        <v>6090</v>
      </c>
    </row>
    <row r="54" spans="1:9" s="134" customFormat="1" ht="15" customHeight="1">
      <c r="A54" s="279"/>
      <c r="B54" s="213" t="s">
        <v>82</v>
      </c>
      <c r="C54" s="275"/>
      <c r="D54" s="213"/>
      <c r="E54" s="188" t="s">
        <v>46</v>
      </c>
      <c r="F54" s="213" t="s">
        <v>1</v>
      </c>
      <c r="G54" s="270">
        <v>42000</v>
      </c>
      <c r="H54" s="271">
        <f t="shared" si="14"/>
        <v>4200</v>
      </c>
    </row>
    <row r="55" spans="1:9" s="134" customFormat="1" ht="15" customHeight="1">
      <c r="A55" s="279"/>
      <c r="B55" s="275" t="s">
        <v>25</v>
      </c>
      <c r="C55" s="275"/>
      <c r="D55" s="275"/>
      <c r="E55" s="316"/>
      <c r="F55" s="277"/>
      <c r="G55" s="275"/>
      <c r="H55" s="278">
        <f>144155+787+1270</f>
        <v>146212</v>
      </c>
    </row>
    <row r="56" spans="1:9" s="155" customFormat="1" ht="19.8" customHeight="1">
      <c r="A56" s="222"/>
      <c r="B56" s="175"/>
      <c r="C56" s="175"/>
      <c r="D56" s="175"/>
      <c r="E56" s="189"/>
      <c r="F56" s="224"/>
      <c r="G56" s="175"/>
      <c r="H56" s="225">
        <f>SUM(H46:H55)</f>
        <v>3842000</v>
      </c>
      <c r="I56" s="183">
        <f>D47*17000</f>
        <v>3842000</v>
      </c>
    </row>
    <row r="57" spans="1:9">
      <c r="A57" s="107"/>
      <c r="B57" s="107"/>
      <c r="C57" s="107"/>
      <c r="D57" s="107"/>
      <c r="E57" s="319"/>
      <c r="I57" s="30">
        <f>H56-I56</f>
        <v>0</v>
      </c>
    </row>
    <row r="58" spans="1:9" ht="18">
      <c r="A58" s="347" t="s">
        <v>28</v>
      </c>
      <c r="B58" s="347"/>
      <c r="C58" s="347" t="s">
        <v>29</v>
      </c>
      <c r="D58" s="347"/>
      <c r="E58" s="347"/>
      <c r="F58" s="1"/>
      <c r="G58" s="347" t="s">
        <v>30</v>
      </c>
      <c r="H58" s="347"/>
    </row>
    <row r="59" spans="1:9" ht="18">
      <c r="A59" s="33"/>
      <c r="B59" s="33"/>
      <c r="C59" s="33"/>
      <c r="D59" s="33"/>
      <c r="E59" s="33"/>
      <c r="F59" s="1"/>
      <c r="G59" s="33"/>
      <c r="H59" s="33"/>
    </row>
    <row r="60" spans="1:9" ht="18">
      <c r="A60" s="33"/>
      <c r="B60" s="33"/>
      <c r="C60" s="33"/>
      <c r="D60" s="33"/>
      <c r="E60" s="33"/>
      <c r="F60" s="1"/>
      <c r="G60" s="33"/>
      <c r="H60" s="33"/>
    </row>
    <row r="61" spans="1:9" ht="18">
      <c r="A61" s="33"/>
      <c r="B61" s="33"/>
      <c r="C61" s="33"/>
      <c r="D61" s="33"/>
      <c r="E61" s="33"/>
      <c r="F61" s="1"/>
      <c r="G61" s="33"/>
      <c r="H61" s="33"/>
    </row>
    <row r="62" spans="1:9" ht="18">
      <c r="A62" s="33"/>
      <c r="B62" s="33"/>
      <c r="C62" s="33"/>
      <c r="D62" s="33"/>
      <c r="E62" s="33"/>
      <c r="F62" s="1"/>
      <c r="G62" s="33"/>
      <c r="H62" s="33"/>
    </row>
    <row r="63" spans="1:9" ht="18">
      <c r="A63" s="33"/>
      <c r="B63" s="33"/>
      <c r="C63" s="33"/>
      <c r="D63" s="33"/>
      <c r="E63" s="33"/>
      <c r="F63" s="1"/>
      <c r="G63" s="33"/>
      <c r="H63" s="33"/>
    </row>
    <row r="64" spans="1:9" ht="18">
      <c r="A64" s="33"/>
      <c r="B64" s="33"/>
      <c r="C64" s="33"/>
      <c r="D64" s="33"/>
      <c r="E64" s="33"/>
      <c r="F64" s="1"/>
      <c r="G64" s="33"/>
      <c r="H64" s="33"/>
    </row>
    <row r="65" spans="1:9" ht="15.6">
      <c r="A65" s="6" t="s">
        <v>0</v>
      </c>
      <c r="B65" s="6"/>
    </row>
    <row r="66" spans="1:9" s="110" customFormat="1" ht="16.8" customHeight="1">
      <c r="A66" s="347" t="s">
        <v>267</v>
      </c>
      <c r="B66" s="347"/>
      <c r="C66" s="347"/>
      <c r="D66" s="347"/>
      <c r="E66" s="347"/>
      <c r="F66" s="347"/>
      <c r="G66" s="347"/>
      <c r="H66" s="347"/>
      <c r="I66" s="181">
        <f>1996200/15</f>
        <v>133080</v>
      </c>
    </row>
    <row r="67" spans="1:9" s="110" customFormat="1" ht="16.2" customHeight="1">
      <c r="A67" s="109"/>
      <c r="B67" s="348" t="s">
        <v>278</v>
      </c>
      <c r="C67" s="348"/>
      <c r="D67" s="348"/>
      <c r="E67" s="348"/>
      <c r="F67" s="348"/>
      <c r="G67" s="348"/>
      <c r="H67" s="348"/>
    </row>
    <row r="68" spans="1:9" s="117" customFormat="1" ht="15" customHeight="1">
      <c r="A68" s="349" t="s">
        <v>281</v>
      </c>
      <c r="B68" s="208" t="s">
        <v>11</v>
      </c>
      <c r="C68" s="112">
        <f>E68/D68</f>
        <v>0.12043478260869565</v>
      </c>
      <c r="D68" s="38">
        <v>230</v>
      </c>
      <c r="E68" s="158">
        <v>27.7</v>
      </c>
      <c r="F68" s="113" t="s">
        <v>1</v>
      </c>
      <c r="G68" s="308">
        <v>21000</v>
      </c>
      <c r="H68" s="115">
        <f>E68*G68</f>
        <v>581700</v>
      </c>
      <c r="I68" s="182" t="e">
        <f>#REF!-#REF!</f>
        <v>#REF!</v>
      </c>
    </row>
    <row r="69" spans="1:9" s="117" customFormat="1" ht="15" customHeight="1">
      <c r="A69" s="350"/>
      <c r="B69" s="38" t="s">
        <v>6</v>
      </c>
      <c r="C69" s="38">
        <f>E69/D69</f>
        <v>7.0434782608695651E-2</v>
      </c>
      <c r="D69" s="38">
        <v>230</v>
      </c>
      <c r="E69" s="163">
        <v>16.2</v>
      </c>
      <c r="F69" s="38" t="s">
        <v>1</v>
      </c>
      <c r="G69" s="120">
        <v>141750</v>
      </c>
      <c r="H69" s="121">
        <f>E69*G69</f>
        <v>2296350</v>
      </c>
      <c r="I69" s="123">
        <f>230*17000</f>
        <v>3910000</v>
      </c>
    </row>
    <row r="70" spans="1:9" s="117" customFormat="1" ht="15" customHeight="1">
      <c r="A70" s="350"/>
      <c r="B70" s="38" t="s">
        <v>34</v>
      </c>
      <c r="C70" s="38">
        <f t="shared" ref="C70:C71" si="15">E70/D70</f>
        <v>3.0434782608695652E-3</v>
      </c>
      <c r="D70" s="38">
        <v>230</v>
      </c>
      <c r="E70" s="309" t="s">
        <v>35</v>
      </c>
      <c r="F70" s="38" t="s">
        <v>1</v>
      </c>
      <c r="G70" s="120">
        <v>304500</v>
      </c>
      <c r="H70" s="121">
        <f t="shared" ref="H70:H74" si="16">E70*G70</f>
        <v>213150</v>
      </c>
    </row>
    <row r="71" spans="1:9" s="117" customFormat="1" ht="15" customHeight="1">
      <c r="A71" s="350"/>
      <c r="B71" s="38" t="s">
        <v>36</v>
      </c>
      <c r="C71" s="38">
        <f t="shared" si="15"/>
        <v>3.2173913043478261E-2</v>
      </c>
      <c r="D71" s="38">
        <v>230</v>
      </c>
      <c r="E71" s="309" t="s">
        <v>139</v>
      </c>
      <c r="F71" s="38" t="s">
        <v>1</v>
      </c>
      <c r="G71" s="120">
        <v>67200</v>
      </c>
      <c r="H71" s="121">
        <f t="shared" si="16"/>
        <v>497280</v>
      </c>
      <c r="I71" s="135">
        <f>I69-H76</f>
        <v>0</v>
      </c>
    </row>
    <row r="72" spans="1:9" s="117" customFormat="1" ht="15" customHeight="1">
      <c r="A72" s="350"/>
      <c r="B72" s="38" t="s">
        <v>55</v>
      </c>
      <c r="C72" s="163"/>
      <c r="D72" s="38"/>
      <c r="E72" s="163">
        <v>0.1</v>
      </c>
      <c r="F72" s="38" t="s">
        <v>4</v>
      </c>
      <c r="G72" s="120">
        <v>36750</v>
      </c>
      <c r="H72" s="121">
        <f t="shared" si="16"/>
        <v>3675</v>
      </c>
    </row>
    <row r="73" spans="1:9" s="117" customFormat="1" ht="15" customHeight="1">
      <c r="A73" s="350"/>
      <c r="B73" s="38" t="s">
        <v>198</v>
      </c>
      <c r="C73" s="144"/>
      <c r="D73" s="38"/>
      <c r="E73" s="309" t="s">
        <v>219</v>
      </c>
      <c r="F73" s="38" t="s">
        <v>1</v>
      </c>
      <c r="G73" s="120">
        <v>31500</v>
      </c>
      <c r="H73" s="121">
        <f t="shared" si="16"/>
        <v>166950</v>
      </c>
    </row>
    <row r="74" spans="1:9" s="117" customFormat="1" ht="15" customHeight="1">
      <c r="A74" s="350"/>
      <c r="B74" s="38" t="s">
        <v>12</v>
      </c>
      <c r="C74" s="38"/>
      <c r="D74" s="38"/>
      <c r="E74" s="163">
        <v>0.1</v>
      </c>
      <c r="F74" s="38" t="s">
        <v>1</v>
      </c>
      <c r="G74" s="120">
        <v>57750</v>
      </c>
      <c r="H74" s="121">
        <f t="shared" si="16"/>
        <v>5775</v>
      </c>
    </row>
    <row r="75" spans="1:9" s="117" customFormat="1" ht="15" customHeight="1">
      <c r="A75" s="351"/>
      <c r="B75" s="125" t="s">
        <v>25</v>
      </c>
      <c r="C75" s="125"/>
      <c r="D75" s="125"/>
      <c r="E75" s="312"/>
      <c r="F75" s="127"/>
      <c r="G75" s="125"/>
      <c r="H75" s="121">
        <f>144155+965</f>
        <v>145120</v>
      </c>
      <c r="I75" s="117">
        <v>130426</v>
      </c>
    </row>
    <row r="76" spans="1:9" s="148" customFormat="1" ht="18.600000000000001" customHeight="1">
      <c r="A76" s="149"/>
      <c r="B76" s="150"/>
      <c r="C76" s="151"/>
      <c r="D76" s="151"/>
      <c r="E76" s="313"/>
      <c r="F76" s="153"/>
      <c r="G76" s="150"/>
      <c r="H76" s="154">
        <f>SUM(H68:H75)</f>
        <v>3910000</v>
      </c>
      <c r="I76" s="183">
        <f>H76-I69</f>
        <v>0</v>
      </c>
    </row>
    <row r="77" spans="1:9" s="117" customFormat="1" ht="15" customHeight="1">
      <c r="A77" s="122"/>
      <c r="B77" s="208" t="s">
        <v>22</v>
      </c>
      <c r="C77" s="171">
        <f>E77/D77</f>
        <v>0.12043478260869565</v>
      </c>
      <c r="D77" s="38">
        <v>230</v>
      </c>
      <c r="E77" s="306" t="s">
        <v>121</v>
      </c>
      <c r="F77" s="160" t="s">
        <v>1</v>
      </c>
      <c r="G77" s="307">
        <v>21000</v>
      </c>
      <c r="H77" s="161">
        <f>E77*G77</f>
        <v>581700</v>
      </c>
      <c r="I77" s="117">
        <f>4205303-3893000</f>
        <v>312303</v>
      </c>
    </row>
    <row r="78" spans="1:9" s="117" customFormat="1" ht="15" customHeight="1">
      <c r="A78" s="350" t="s">
        <v>279</v>
      </c>
      <c r="B78" s="160" t="s">
        <v>184</v>
      </c>
      <c r="C78" s="142">
        <f t="shared" ref="C78:C80" si="17">E78/D78</f>
        <v>7.3913043478260873E-2</v>
      </c>
      <c r="D78" s="38">
        <v>230</v>
      </c>
      <c r="E78" s="306" t="s">
        <v>284</v>
      </c>
      <c r="F78" s="38" t="s">
        <v>1</v>
      </c>
      <c r="G78" s="307">
        <v>131250</v>
      </c>
      <c r="H78" s="121">
        <f>G78*E78</f>
        <v>2231250</v>
      </c>
    </row>
    <row r="79" spans="1:9" s="117" customFormat="1" ht="19.2" customHeight="1">
      <c r="A79" s="350"/>
      <c r="B79" s="38" t="s">
        <v>153</v>
      </c>
      <c r="C79" s="142">
        <f t="shared" si="17"/>
        <v>4.3478260869565218E-3</v>
      </c>
      <c r="D79" s="164">
        <v>230</v>
      </c>
      <c r="E79" s="163">
        <v>1</v>
      </c>
      <c r="F79" s="38" t="s">
        <v>4</v>
      </c>
      <c r="G79" s="120">
        <v>141750</v>
      </c>
      <c r="H79" s="121">
        <f t="shared" ref="H79" si="18">E79*G79</f>
        <v>141750</v>
      </c>
      <c r="I79" s="124">
        <f>230*17000</f>
        <v>3910000</v>
      </c>
    </row>
    <row r="80" spans="1:9" s="117" customFormat="1" ht="15" customHeight="1">
      <c r="A80" s="350"/>
      <c r="B80" s="38" t="s">
        <v>7</v>
      </c>
      <c r="C80" s="144">
        <f t="shared" si="17"/>
        <v>0.54347826086956519</v>
      </c>
      <c r="D80" s="164">
        <v>230</v>
      </c>
      <c r="E80" s="309" t="s">
        <v>283</v>
      </c>
      <c r="F80" s="38" t="s">
        <v>271</v>
      </c>
      <c r="G80" s="120">
        <v>3510</v>
      </c>
      <c r="H80" s="121">
        <f>E80*G80</f>
        <v>438750</v>
      </c>
    </row>
    <row r="81" spans="1:9" s="117" customFormat="1" ht="15" customHeight="1">
      <c r="A81" s="350"/>
      <c r="B81" s="38" t="s">
        <v>280</v>
      </c>
      <c r="C81" s="144"/>
      <c r="D81" s="38"/>
      <c r="E81" s="309" t="s">
        <v>189</v>
      </c>
      <c r="F81" s="38" t="s">
        <v>188</v>
      </c>
      <c r="G81" s="120">
        <v>75600</v>
      </c>
      <c r="H81" s="121">
        <f>E81*G81</f>
        <v>151200</v>
      </c>
    </row>
    <row r="82" spans="1:9" s="117" customFormat="1" ht="15" customHeight="1">
      <c r="A82" s="350"/>
      <c r="B82" s="38" t="s">
        <v>197</v>
      </c>
      <c r="C82" s="144"/>
      <c r="D82" s="38"/>
      <c r="E82" s="309" t="s">
        <v>189</v>
      </c>
      <c r="F82" s="38" t="s">
        <v>4</v>
      </c>
      <c r="G82" s="120">
        <v>44280</v>
      </c>
      <c r="H82" s="121">
        <f>E82*G82</f>
        <v>88560</v>
      </c>
    </row>
    <row r="83" spans="1:9" s="117" customFormat="1" ht="15" customHeight="1">
      <c r="A83" s="350"/>
      <c r="B83" s="38" t="s">
        <v>282</v>
      </c>
      <c r="C83" s="144"/>
      <c r="D83" s="38"/>
      <c r="E83" s="309" t="s">
        <v>201</v>
      </c>
      <c r="F83" s="38" t="s">
        <v>4</v>
      </c>
      <c r="G83" s="120">
        <v>24150</v>
      </c>
      <c r="H83" s="121">
        <f>E83*G83</f>
        <v>123164.99999999999</v>
      </c>
    </row>
    <row r="84" spans="1:9" s="117" customFormat="1" ht="15" customHeight="1">
      <c r="A84" s="350"/>
      <c r="B84" s="38" t="s">
        <v>41</v>
      </c>
      <c r="C84" s="142"/>
      <c r="D84" s="38"/>
      <c r="E84" s="309" t="s">
        <v>46</v>
      </c>
      <c r="F84" s="38" t="s">
        <v>4</v>
      </c>
      <c r="G84" s="120">
        <v>36750</v>
      </c>
      <c r="H84" s="121">
        <f t="shared" ref="H84:H85" si="19">E84*G84</f>
        <v>3675</v>
      </c>
    </row>
    <row r="85" spans="1:9" s="117" customFormat="1" ht="15" customHeight="1">
      <c r="A85" s="350"/>
      <c r="B85" s="38" t="s">
        <v>12</v>
      </c>
      <c r="C85" s="163"/>
      <c r="D85" s="38"/>
      <c r="E85" s="314">
        <v>0.1</v>
      </c>
      <c r="F85" s="38" t="s">
        <v>1</v>
      </c>
      <c r="G85" s="120">
        <v>57750</v>
      </c>
      <c r="H85" s="121">
        <f t="shared" si="19"/>
        <v>5775</v>
      </c>
      <c r="I85" s="123">
        <f>230*17000</f>
        <v>3910000</v>
      </c>
    </row>
    <row r="86" spans="1:9" s="117" customFormat="1" ht="15" customHeight="1">
      <c r="A86" s="350"/>
      <c r="B86" s="125" t="s">
        <v>25</v>
      </c>
      <c r="C86" s="125"/>
      <c r="D86" s="125"/>
      <c r="E86" s="312"/>
      <c r="F86" s="127"/>
      <c r="G86" s="125"/>
      <c r="H86" s="133">
        <f>144155+20</f>
        <v>144175</v>
      </c>
    </row>
    <row r="87" spans="1:9" s="134" customFormat="1" ht="20.399999999999999" customHeight="1">
      <c r="A87" s="218"/>
      <c r="B87" s="20"/>
      <c r="C87" s="20"/>
      <c r="D87" s="20"/>
      <c r="E87" s="315"/>
      <c r="F87" s="21"/>
      <c r="G87" s="20"/>
      <c r="H87" s="5">
        <f>SUM(H77:H86)</f>
        <v>3910000</v>
      </c>
      <c r="I87" s="217">
        <f>I85-H87</f>
        <v>0</v>
      </c>
    </row>
    <row r="88" spans="1:9" s="134" customFormat="1" ht="20.399999999999999" customHeight="1">
      <c r="A88" s="353" t="s">
        <v>285</v>
      </c>
      <c r="B88" s="98" t="s">
        <v>11</v>
      </c>
      <c r="C88" s="100">
        <f>E88/D88</f>
        <v>0.12196261682242991</v>
      </c>
      <c r="D88" s="213">
        <v>214</v>
      </c>
      <c r="E88" s="186" t="s">
        <v>290</v>
      </c>
      <c r="F88" s="113" t="s">
        <v>1</v>
      </c>
      <c r="G88" s="141">
        <v>21000</v>
      </c>
      <c r="H88" s="310">
        <f>E88*G88</f>
        <v>548100</v>
      </c>
      <c r="I88" s="217"/>
    </row>
    <row r="89" spans="1:9" s="134" customFormat="1" ht="20.399999999999999" customHeight="1">
      <c r="A89" s="354"/>
      <c r="B89" s="311" t="s">
        <v>129</v>
      </c>
      <c r="C89" s="101">
        <f>E89/D89</f>
        <v>0.10280373831775701</v>
      </c>
      <c r="D89" s="17">
        <v>214</v>
      </c>
      <c r="E89" s="42">
        <v>22</v>
      </c>
      <c r="F89" s="17" t="s">
        <v>1</v>
      </c>
      <c r="G89" s="18">
        <v>87150</v>
      </c>
      <c r="H89" s="310">
        <f>E89*G89</f>
        <v>1917300</v>
      </c>
      <c r="I89" s="217"/>
    </row>
    <row r="90" spans="1:9" s="134" customFormat="1" ht="20.399999999999999" customHeight="1">
      <c r="A90" s="354"/>
      <c r="B90" s="38" t="s">
        <v>36</v>
      </c>
      <c r="C90" s="38">
        <f t="shared" ref="C90:C91" si="20">E90/D90</f>
        <v>4.6261682242990654E-2</v>
      </c>
      <c r="D90" s="38">
        <v>214</v>
      </c>
      <c r="E90" s="309" t="s">
        <v>291</v>
      </c>
      <c r="F90" s="38" t="s">
        <v>1</v>
      </c>
      <c r="G90" s="120">
        <v>67200</v>
      </c>
      <c r="H90" s="310">
        <f t="shared" ref="H90:H95" si="21">E90*G90</f>
        <v>665280</v>
      </c>
      <c r="I90" s="217"/>
    </row>
    <row r="91" spans="1:9" s="134" customFormat="1" ht="20.399999999999999" customHeight="1">
      <c r="A91" s="354"/>
      <c r="B91" s="38" t="s">
        <v>153</v>
      </c>
      <c r="C91" s="142">
        <f t="shared" si="20"/>
        <v>4.6728971962616819E-3</v>
      </c>
      <c r="D91" s="164">
        <v>214</v>
      </c>
      <c r="E91" s="163">
        <v>1</v>
      </c>
      <c r="F91" s="38" t="s">
        <v>4</v>
      </c>
      <c r="G91" s="120">
        <v>141750</v>
      </c>
      <c r="H91" s="310">
        <f t="shared" si="21"/>
        <v>141750</v>
      </c>
      <c r="I91" s="217">
        <f>214*17000</f>
        <v>3638000</v>
      </c>
    </row>
    <row r="92" spans="1:9" s="134" customFormat="1" ht="20.399999999999999" customHeight="1">
      <c r="A92" s="354"/>
      <c r="B92" s="213" t="s">
        <v>275</v>
      </c>
      <c r="C92" s="272"/>
      <c r="D92" s="213">
        <v>214</v>
      </c>
      <c r="E92" s="188" t="s">
        <v>277</v>
      </c>
      <c r="F92" s="213" t="s">
        <v>4</v>
      </c>
      <c r="G92" s="270">
        <v>25200</v>
      </c>
      <c r="H92" s="310">
        <f t="shared" si="21"/>
        <v>100800</v>
      </c>
      <c r="I92" s="217"/>
    </row>
    <row r="93" spans="1:9" s="134" customFormat="1" ht="20.399999999999999" customHeight="1">
      <c r="A93" s="354"/>
      <c r="B93" s="213" t="s">
        <v>276</v>
      </c>
      <c r="C93" s="272"/>
      <c r="D93" s="213"/>
      <c r="E93" s="188" t="s">
        <v>68</v>
      </c>
      <c r="F93" s="213" t="s">
        <v>1</v>
      </c>
      <c r="G93" s="270">
        <v>22050</v>
      </c>
      <c r="H93" s="310">
        <f t="shared" si="21"/>
        <v>110250</v>
      </c>
      <c r="I93" s="217"/>
    </row>
    <row r="94" spans="1:9" s="134" customFormat="1" ht="20.399999999999999" customHeight="1">
      <c r="A94" s="354"/>
      <c r="B94" s="213" t="s">
        <v>41</v>
      </c>
      <c r="C94" s="268"/>
      <c r="D94" s="213"/>
      <c r="E94" s="188" t="s">
        <v>46</v>
      </c>
      <c r="F94" s="213" t="s">
        <v>4</v>
      </c>
      <c r="G94" s="120">
        <v>36750</v>
      </c>
      <c r="H94" s="310">
        <f t="shared" si="21"/>
        <v>3675</v>
      </c>
      <c r="I94" s="217">
        <f>H97-I91</f>
        <v>0</v>
      </c>
    </row>
    <row r="95" spans="1:9" s="134" customFormat="1" ht="20.399999999999999" customHeight="1">
      <c r="A95" s="354"/>
      <c r="B95" s="213" t="s">
        <v>12</v>
      </c>
      <c r="C95" s="216"/>
      <c r="D95" s="213"/>
      <c r="E95" s="318">
        <v>0.1</v>
      </c>
      <c r="F95" s="213" t="s">
        <v>1</v>
      </c>
      <c r="G95" s="120">
        <v>57750</v>
      </c>
      <c r="H95" s="310">
        <f t="shared" si="21"/>
        <v>5775</v>
      </c>
      <c r="I95" s="217"/>
    </row>
    <row r="96" spans="1:9" s="134" customFormat="1" ht="20.399999999999999" customHeight="1">
      <c r="A96" s="289"/>
      <c r="B96" s="275" t="s">
        <v>25</v>
      </c>
      <c r="C96" s="275"/>
      <c r="D96" s="275"/>
      <c r="E96" s="316"/>
      <c r="F96" s="277"/>
      <c r="G96" s="275"/>
      <c r="H96" s="310">
        <f>144155+915</f>
        <v>145070</v>
      </c>
      <c r="I96" s="217"/>
    </row>
    <row r="97" spans="1:9" s="134" customFormat="1" ht="20.399999999999999" customHeight="1">
      <c r="A97" s="218"/>
      <c r="B97" s="294"/>
      <c r="C97" s="220"/>
      <c r="D97" s="294"/>
      <c r="E97" s="317"/>
      <c r="F97" s="294"/>
      <c r="G97" s="296"/>
      <c r="H97" s="297">
        <f>SUM(H88:H96)</f>
        <v>3638000</v>
      </c>
      <c r="I97" s="217">
        <f>H97-I91</f>
        <v>0</v>
      </c>
    </row>
    <row r="98" spans="1:9" s="134" customFormat="1" ht="15" customHeight="1">
      <c r="A98" s="346" t="s">
        <v>286</v>
      </c>
      <c r="B98" s="113" t="s">
        <v>22</v>
      </c>
      <c r="C98" s="140">
        <f>E98/D98</f>
        <v>0.1206140350877193</v>
      </c>
      <c r="D98" s="213">
        <v>228</v>
      </c>
      <c r="E98" s="186" t="s">
        <v>161</v>
      </c>
      <c r="F98" s="113" t="s">
        <v>1</v>
      </c>
      <c r="G98" s="141">
        <v>21000</v>
      </c>
      <c r="H98" s="115">
        <f>E98*G98</f>
        <v>577500</v>
      </c>
      <c r="I98" s="284"/>
    </row>
    <row r="99" spans="1:9" s="134" customFormat="1" ht="24.6" customHeight="1">
      <c r="A99" s="346"/>
      <c r="B99" s="38" t="s">
        <v>87</v>
      </c>
      <c r="C99" s="142">
        <f t="shared" ref="C99:C102" si="22">E99/D99</f>
        <v>6.5789473684210523E-2</v>
      </c>
      <c r="D99" s="213">
        <v>228</v>
      </c>
      <c r="E99" s="163">
        <v>15</v>
      </c>
      <c r="F99" s="38" t="s">
        <v>1</v>
      </c>
      <c r="G99" s="120">
        <v>140700</v>
      </c>
      <c r="H99" s="121">
        <f>E99*G99-1892</f>
        <v>2108608</v>
      </c>
    </row>
    <row r="100" spans="1:9" s="134" customFormat="1" ht="15" customHeight="1">
      <c r="A100" s="346"/>
      <c r="B100" s="38" t="s">
        <v>256</v>
      </c>
      <c r="C100" s="144">
        <f t="shared" si="22"/>
        <v>3.9035087719298249E-2</v>
      </c>
      <c r="D100" s="164">
        <v>228</v>
      </c>
      <c r="E100" s="287" t="s">
        <v>293</v>
      </c>
      <c r="F100" s="38" t="s">
        <v>1</v>
      </c>
      <c r="G100" s="120">
        <v>81900</v>
      </c>
      <c r="H100" s="121">
        <f>E100*G100</f>
        <v>728910</v>
      </c>
    </row>
    <row r="101" spans="1:9" s="134" customFormat="1" ht="15" customHeight="1">
      <c r="A101" s="346"/>
      <c r="B101" s="38" t="s">
        <v>45</v>
      </c>
      <c r="C101" s="144">
        <f t="shared" si="22"/>
        <v>4.3859649122807015E-3</v>
      </c>
      <c r="D101" s="213">
        <v>228</v>
      </c>
      <c r="E101" s="309" t="s">
        <v>26</v>
      </c>
      <c r="F101" s="38" t="s">
        <v>1</v>
      </c>
      <c r="G101" s="120">
        <v>173250</v>
      </c>
      <c r="H101" s="121">
        <f t="shared" ref="H101:H105" si="23">E101*G101</f>
        <v>173250</v>
      </c>
    </row>
    <row r="102" spans="1:9" s="134" customFormat="1" ht="15" customHeight="1">
      <c r="A102" s="279"/>
      <c r="B102" s="38" t="s">
        <v>257</v>
      </c>
      <c r="C102" s="144">
        <f t="shared" si="22"/>
        <v>1.3157894736842105E-2</v>
      </c>
      <c r="D102" s="164">
        <v>228</v>
      </c>
      <c r="E102" s="309" t="s">
        <v>48</v>
      </c>
      <c r="F102" s="38" t="s">
        <v>4</v>
      </c>
      <c r="G102" s="120">
        <v>23100</v>
      </c>
      <c r="H102" s="121">
        <f t="shared" si="23"/>
        <v>69300</v>
      </c>
    </row>
    <row r="103" spans="1:9" s="134" customFormat="1" ht="15" customHeight="1">
      <c r="A103" s="279"/>
      <c r="B103" s="38" t="s">
        <v>258</v>
      </c>
      <c r="C103" s="171"/>
      <c r="D103" s="164"/>
      <c r="E103" s="309" t="s">
        <v>189</v>
      </c>
      <c r="F103" s="38" t="s">
        <v>4</v>
      </c>
      <c r="G103" s="120">
        <v>31500</v>
      </c>
      <c r="H103" s="121">
        <f t="shared" si="23"/>
        <v>63000</v>
      </c>
    </row>
    <row r="104" spans="1:9" s="134" customFormat="1" ht="15" customHeight="1">
      <c r="A104" s="279"/>
      <c r="B104" s="38" t="s">
        <v>66</v>
      </c>
      <c r="C104" s="146"/>
      <c r="D104" s="38"/>
      <c r="E104" s="309" t="s">
        <v>46</v>
      </c>
      <c r="F104" s="38" t="s">
        <v>1</v>
      </c>
      <c r="G104" s="120">
        <v>60900</v>
      </c>
      <c r="H104" s="121">
        <f t="shared" si="23"/>
        <v>6090</v>
      </c>
    </row>
    <row r="105" spans="1:9" s="134" customFormat="1" ht="15" customHeight="1">
      <c r="A105" s="279"/>
      <c r="B105" s="38" t="s">
        <v>82</v>
      </c>
      <c r="C105" s="125"/>
      <c r="D105" s="38"/>
      <c r="E105" s="309" t="s">
        <v>46</v>
      </c>
      <c r="F105" s="38" t="s">
        <v>1</v>
      </c>
      <c r="G105" s="120">
        <v>42000</v>
      </c>
      <c r="H105" s="121">
        <f t="shared" si="23"/>
        <v>4200</v>
      </c>
    </row>
    <row r="106" spans="1:9" s="134" customFormat="1" ht="15" customHeight="1">
      <c r="A106" s="279"/>
      <c r="B106" s="275" t="s">
        <v>25</v>
      </c>
      <c r="C106" s="275"/>
      <c r="D106" s="275"/>
      <c r="E106" s="316"/>
      <c r="F106" s="277"/>
      <c r="G106" s="275"/>
      <c r="H106" s="278">
        <f>144155+987</f>
        <v>145142</v>
      </c>
    </row>
    <row r="107" spans="1:9" s="155" customFormat="1" ht="19.8" customHeight="1">
      <c r="A107" s="222"/>
      <c r="B107" s="175"/>
      <c r="C107" s="175"/>
      <c r="D107" s="175"/>
      <c r="E107" s="189"/>
      <c r="F107" s="224"/>
      <c r="G107" s="175"/>
      <c r="H107" s="225">
        <f>SUM(H98:H106)</f>
        <v>3876000</v>
      </c>
      <c r="I107" s="183">
        <f>D99*17000</f>
        <v>3876000</v>
      </c>
    </row>
    <row r="108" spans="1:9">
      <c r="A108" s="107"/>
      <c r="B108" s="107"/>
      <c r="C108" s="107"/>
      <c r="D108" s="107"/>
      <c r="E108" s="319"/>
      <c r="I108" s="30">
        <f>H107-I107</f>
        <v>0</v>
      </c>
    </row>
    <row r="109" spans="1:9" ht="18">
      <c r="A109" s="347" t="s">
        <v>28</v>
      </c>
      <c r="B109" s="347"/>
      <c r="C109" s="347" t="s">
        <v>29</v>
      </c>
      <c r="D109" s="347"/>
      <c r="E109" s="347"/>
      <c r="F109" s="1"/>
      <c r="G109" s="347" t="s">
        <v>30</v>
      </c>
      <c r="H109" s="347"/>
    </row>
    <row r="110" spans="1:9">
      <c r="I110" s="71" t="s">
        <v>287</v>
      </c>
    </row>
    <row r="111" spans="1:9">
      <c r="I111" t="s">
        <v>289</v>
      </c>
    </row>
    <row r="112" spans="1:9">
      <c r="I112" t="s">
        <v>288</v>
      </c>
    </row>
    <row r="113" spans="1:9" ht="20.399999999999999">
      <c r="I113" s="321" t="s">
        <v>292</v>
      </c>
    </row>
    <row r="123" spans="1:9" ht="15.6">
      <c r="A123" s="6" t="s">
        <v>0</v>
      </c>
      <c r="B123" s="6"/>
    </row>
    <row r="124" spans="1:9" s="110" customFormat="1" ht="16.8" customHeight="1">
      <c r="A124" s="347" t="s">
        <v>267</v>
      </c>
      <c r="B124" s="347"/>
      <c r="C124" s="347"/>
      <c r="D124" s="347"/>
      <c r="E124" s="347"/>
      <c r="F124" s="347"/>
      <c r="G124" s="347"/>
      <c r="H124" s="347"/>
      <c r="I124" s="181">
        <f>1996200/15</f>
        <v>133080</v>
      </c>
    </row>
    <row r="125" spans="1:9" s="110" customFormat="1" ht="16.2" customHeight="1">
      <c r="A125" s="109"/>
      <c r="B125" s="348" t="s">
        <v>268</v>
      </c>
      <c r="C125" s="348"/>
      <c r="D125" s="348"/>
      <c r="E125" s="348"/>
      <c r="F125" s="348"/>
      <c r="G125" s="348"/>
      <c r="H125" s="348"/>
    </row>
    <row r="126" spans="1:9" s="117" customFormat="1" ht="15" customHeight="1">
      <c r="A126" s="349" t="s">
        <v>263</v>
      </c>
      <c r="B126" s="208" t="s">
        <v>11</v>
      </c>
      <c r="C126" s="112">
        <f>E126/D126</f>
        <v>0.12043478260869565</v>
      </c>
      <c r="D126" s="38">
        <v>230</v>
      </c>
      <c r="E126" s="158">
        <v>27.7</v>
      </c>
      <c r="F126" s="113" t="s">
        <v>1</v>
      </c>
      <c r="G126" s="308">
        <v>21000</v>
      </c>
      <c r="H126" s="115">
        <f>E126*G126</f>
        <v>581700</v>
      </c>
      <c r="I126" s="182" t="e">
        <f>#REF!-#REF!</f>
        <v>#REF!</v>
      </c>
    </row>
    <row r="127" spans="1:9" s="117" customFormat="1" ht="15" customHeight="1">
      <c r="A127" s="350"/>
      <c r="B127" s="38" t="s">
        <v>6</v>
      </c>
      <c r="C127" s="38">
        <f>E127/D127</f>
        <v>7.0434782608695651E-2</v>
      </c>
      <c r="D127" s="38">
        <v>230</v>
      </c>
      <c r="E127" s="163">
        <v>16.2</v>
      </c>
      <c r="F127" s="38" t="s">
        <v>1</v>
      </c>
      <c r="G127" s="120">
        <v>141750</v>
      </c>
      <c r="H127" s="121">
        <f>E127*G127</f>
        <v>2296350</v>
      </c>
      <c r="I127" s="123">
        <f>230*17000</f>
        <v>3910000</v>
      </c>
    </row>
    <row r="128" spans="1:9" s="117" customFormat="1" ht="15" customHeight="1">
      <c r="A128" s="350"/>
      <c r="B128" s="38" t="s">
        <v>34</v>
      </c>
      <c r="C128" s="38">
        <f t="shared" ref="C128:C129" si="24">E128/D128</f>
        <v>3.0434782608695652E-3</v>
      </c>
      <c r="D128" s="38">
        <v>230</v>
      </c>
      <c r="E128" s="309" t="s">
        <v>35</v>
      </c>
      <c r="F128" s="38" t="s">
        <v>1</v>
      </c>
      <c r="G128" s="120">
        <v>304500</v>
      </c>
      <c r="H128" s="121">
        <f t="shared" ref="H128:H132" si="25">E128*G128</f>
        <v>213150</v>
      </c>
    </row>
    <row r="129" spans="1:9" s="117" customFormat="1" ht="15" customHeight="1">
      <c r="A129" s="350"/>
      <c r="B129" s="38" t="s">
        <v>36</v>
      </c>
      <c r="C129" s="38">
        <f t="shared" si="24"/>
        <v>3.2173913043478261E-2</v>
      </c>
      <c r="D129" s="38">
        <v>230</v>
      </c>
      <c r="E129" s="309" t="s">
        <v>139</v>
      </c>
      <c r="F129" s="38" t="s">
        <v>1</v>
      </c>
      <c r="G129" s="120">
        <v>67200</v>
      </c>
      <c r="H129" s="121">
        <f t="shared" si="25"/>
        <v>497280</v>
      </c>
      <c r="I129" s="135">
        <f>I127-H134</f>
        <v>0</v>
      </c>
    </row>
    <row r="130" spans="1:9" s="117" customFormat="1" ht="15" customHeight="1">
      <c r="A130" s="350"/>
      <c r="B130" s="38" t="s">
        <v>55</v>
      </c>
      <c r="C130" s="163"/>
      <c r="D130" s="38"/>
      <c r="E130" s="163">
        <v>0.1</v>
      </c>
      <c r="F130" s="38" t="s">
        <v>4</v>
      </c>
      <c r="G130" s="120">
        <v>36750</v>
      </c>
      <c r="H130" s="121">
        <f t="shared" si="25"/>
        <v>3675</v>
      </c>
    </row>
    <row r="131" spans="1:9" s="117" customFormat="1" ht="15" customHeight="1">
      <c r="A131" s="350"/>
      <c r="B131" s="38" t="s">
        <v>198</v>
      </c>
      <c r="C131" s="144"/>
      <c r="D131" s="38"/>
      <c r="E131" s="309" t="s">
        <v>219</v>
      </c>
      <c r="F131" s="38" t="s">
        <v>1</v>
      </c>
      <c r="G131" s="120">
        <v>31500</v>
      </c>
      <c r="H131" s="121">
        <f t="shared" si="25"/>
        <v>166950</v>
      </c>
    </row>
    <row r="132" spans="1:9" s="117" customFormat="1" ht="15" customHeight="1">
      <c r="A132" s="350"/>
      <c r="B132" s="38" t="s">
        <v>12</v>
      </c>
      <c r="C132" s="38"/>
      <c r="D132" s="38"/>
      <c r="E132" s="163">
        <v>0.1</v>
      </c>
      <c r="F132" s="38" t="s">
        <v>1</v>
      </c>
      <c r="G132" s="120">
        <v>57750</v>
      </c>
      <c r="H132" s="121">
        <f t="shared" si="25"/>
        <v>5775</v>
      </c>
    </row>
    <row r="133" spans="1:9" s="117" customFormat="1" ht="15" customHeight="1">
      <c r="A133" s="351"/>
      <c r="B133" s="125" t="s">
        <v>25</v>
      </c>
      <c r="C133" s="125"/>
      <c r="D133" s="125"/>
      <c r="E133" s="312"/>
      <c r="F133" s="127"/>
      <c r="G133" s="125"/>
      <c r="H133" s="121">
        <f>144155+965</f>
        <v>145120</v>
      </c>
      <c r="I133" s="117">
        <v>130426</v>
      </c>
    </row>
    <row r="134" spans="1:9" s="148" customFormat="1" ht="18.600000000000001" customHeight="1">
      <c r="A134" s="149"/>
      <c r="B134" s="150"/>
      <c r="C134" s="151"/>
      <c r="D134" s="151"/>
      <c r="E134" s="313"/>
      <c r="F134" s="153"/>
      <c r="G134" s="150"/>
      <c r="H134" s="154">
        <f>SUM(H126:H133)</f>
        <v>3910000</v>
      </c>
      <c r="I134" s="183">
        <f>H134-I127</f>
        <v>0</v>
      </c>
    </row>
    <row r="135" spans="1:9" s="117" customFormat="1" ht="15" customHeight="1">
      <c r="A135" s="122"/>
      <c r="B135" s="208" t="s">
        <v>22</v>
      </c>
      <c r="C135" s="171">
        <f>E135/D135</f>
        <v>0.12043478260869565</v>
      </c>
      <c r="D135" s="38">
        <v>230</v>
      </c>
      <c r="E135" s="306" t="s">
        <v>121</v>
      </c>
      <c r="F135" s="160" t="s">
        <v>1</v>
      </c>
      <c r="G135" s="307">
        <v>21000</v>
      </c>
      <c r="H135" s="161">
        <f>E135*G135</f>
        <v>581700</v>
      </c>
      <c r="I135" s="117">
        <f>4205303-3893000</f>
        <v>312303</v>
      </c>
    </row>
    <row r="136" spans="1:9" s="117" customFormat="1" ht="15" customHeight="1">
      <c r="A136" s="350" t="s">
        <v>264</v>
      </c>
      <c r="B136" s="160" t="s">
        <v>184</v>
      </c>
      <c r="C136" s="142">
        <f t="shared" ref="C136:C138" si="26">E136/D136</f>
        <v>7.5652173913043477E-2</v>
      </c>
      <c r="D136" s="38">
        <v>230</v>
      </c>
      <c r="E136" s="306" t="s">
        <v>254</v>
      </c>
      <c r="F136" s="38" t="s">
        <v>1</v>
      </c>
      <c r="G136" s="307">
        <v>131250</v>
      </c>
      <c r="H136" s="121">
        <f>G136*E136</f>
        <v>2283750</v>
      </c>
    </row>
    <row r="137" spans="1:9" s="117" customFormat="1" ht="19.2" customHeight="1">
      <c r="A137" s="350"/>
      <c r="B137" s="38" t="s">
        <v>153</v>
      </c>
      <c r="C137" s="142">
        <f t="shared" si="26"/>
        <v>4.3478260869565218E-3</v>
      </c>
      <c r="D137" s="164">
        <v>230</v>
      </c>
      <c r="E137" s="163">
        <v>1</v>
      </c>
      <c r="F137" s="38" t="s">
        <v>4</v>
      </c>
      <c r="G137" s="120">
        <v>141750</v>
      </c>
      <c r="H137" s="121">
        <f t="shared" ref="H137" si="27">E137*G137</f>
        <v>141750</v>
      </c>
      <c r="I137" s="124">
        <f>230*17000</f>
        <v>3910000</v>
      </c>
    </row>
    <row r="138" spans="1:9" s="117" customFormat="1" ht="15" customHeight="1">
      <c r="A138" s="350"/>
      <c r="B138" s="38" t="s">
        <v>7</v>
      </c>
      <c r="C138" s="144">
        <f t="shared" si="26"/>
        <v>0.54545454545454541</v>
      </c>
      <c r="D138" s="38">
        <v>220</v>
      </c>
      <c r="E138" s="309" t="s">
        <v>270</v>
      </c>
      <c r="F138" s="38" t="s">
        <v>271</v>
      </c>
      <c r="G138" s="120">
        <v>3510</v>
      </c>
      <c r="H138" s="121">
        <f>E138*G138</f>
        <v>421200</v>
      </c>
    </row>
    <row r="139" spans="1:9" s="117" customFormat="1" ht="15" customHeight="1">
      <c r="A139" s="350"/>
      <c r="B139" s="38" t="s">
        <v>187</v>
      </c>
      <c r="C139" s="144"/>
      <c r="D139" s="38"/>
      <c r="E139" s="309" t="s">
        <v>48</v>
      </c>
      <c r="F139" s="38" t="s">
        <v>188</v>
      </c>
      <c r="G139" s="120">
        <v>37800</v>
      </c>
      <c r="H139" s="121">
        <f>E139*G139</f>
        <v>113400</v>
      </c>
    </row>
    <row r="140" spans="1:9" s="117" customFormat="1" ht="15" customHeight="1">
      <c r="A140" s="350"/>
      <c r="B140" s="38" t="s">
        <v>197</v>
      </c>
      <c r="C140" s="144"/>
      <c r="D140" s="38"/>
      <c r="E140" s="309" t="s">
        <v>26</v>
      </c>
      <c r="F140" s="38" t="s">
        <v>4</v>
      </c>
      <c r="G140" s="120">
        <v>44280</v>
      </c>
      <c r="H140" s="121">
        <f>E140*G140</f>
        <v>44280</v>
      </c>
    </row>
    <row r="141" spans="1:9" s="117" customFormat="1" ht="15" customHeight="1">
      <c r="A141" s="350"/>
      <c r="B141" s="38" t="s">
        <v>269</v>
      </c>
      <c r="C141" s="144"/>
      <c r="D141" s="38"/>
      <c r="E141" s="309" t="s">
        <v>89</v>
      </c>
      <c r="F141" s="38" t="s">
        <v>4</v>
      </c>
      <c r="G141" s="120">
        <v>31500</v>
      </c>
      <c r="H141" s="121">
        <f>E141*G141</f>
        <v>182700</v>
      </c>
    </row>
    <row r="142" spans="1:9" s="117" customFormat="1" ht="15" customHeight="1">
      <c r="A142" s="350"/>
      <c r="B142" s="38" t="s">
        <v>41</v>
      </c>
      <c r="C142" s="142"/>
      <c r="D142" s="38"/>
      <c r="E142" s="309" t="s">
        <v>46</v>
      </c>
      <c r="F142" s="38" t="s">
        <v>4</v>
      </c>
      <c r="G142" s="120">
        <v>36750</v>
      </c>
      <c r="H142" s="121">
        <f t="shared" ref="H142:H143" si="28">E142*G142</f>
        <v>3675</v>
      </c>
    </row>
    <row r="143" spans="1:9" s="117" customFormat="1" ht="15" customHeight="1">
      <c r="A143" s="350"/>
      <c r="B143" s="38" t="s">
        <v>12</v>
      </c>
      <c r="C143" s="163"/>
      <c r="D143" s="38"/>
      <c r="E143" s="314">
        <v>0.1</v>
      </c>
      <c r="F143" s="38" t="s">
        <v>1</v>
      </c>
      <c r="G143" s="120">
        <v>57750</v>
      </c>
      <c r="H143" s="121">
        <f t="shared" si="28"/>
        <v>5775</v>
      </c>
      <c r="I143" s="123">
        <f>230*17000</f>
        <v>3910000</v>
      </c>
    </row>
    <row r="144" spans="1:9" s="117" customFormat="1" ht="15" customHeight="1">
      <c r="A144" s="350"/>
      <c r="B144" s="125" t="s">
        <v>25</v>
      </c>
      <c r="C144" s="125"/>
      <c r="D144" s="125"/>
      <c r="E144" s="312"/>
      <c r="F144" s="127"/>
      <c r="G144" s="125"/>
      <c r="H144" s="133">
        <f>130426+1089+255</f>
        <v>131770</v>
      </c>
    </row>
    <row r="145" spans="1:9" s="134" customFormat="1" ht="20.399999999999999" customHeight="1">
      <c r="A145" s="218"/>
      <c r="B145" s="20"/>
      <c r="C145" s="20"/>
      <c r="D145" s="20"/>
      <c r="E145" s="315"/>
      <c r="F145" s="21"/>
      <c r="G145" s="20"/>
      <c r="H145" s="5">
        <f>SUM(H135:H144)</f>
        <v>3910000</v>
      </c>
      <c r="I145" s="217">
        <f>I143-H145</f>
        <v>0</v>
      </c>
    </row>
    <row r="146" spans="1:9" s="134" customFormat="1" ht="20.399999999999999" customHeight="1">
      <c r="A146" s="353" t="s">
        <v>265</v>
      </c>
      <c r="B146" s="113" t="s">
        <v>22</v>
      </c>
      <c r="C146" s="140">
        <f>E146/D146</f>
        <v>0.12034632034632035</v>
      </c>
      <c r="D146" s="213">
        <v>231</v>
      </c>
      <c r="E146" s="186" t="s">
        <v>108</v>
      </c>
      <c r="F146" s="113" t="s">
        <v>1</v>
      </c>
      <c r="G146" s="141">
        <v>21000</v>
      </c>
      <c r="H146" s="115">
        <f>E146*G146</f>
        <v>583800</v>
      </c>
      <c r="I146" s="217"/>
    </row>
    <row r="147" spans="1:9" s="134" customFormat="1" ht="20.399999999999999" customHeight="1">
      <c r="A147" s="354"/>
      <c r="B147" s="38" t="s">
        <v>87</v>
      </c>
      <c r="C147" s="142">
        <f t="shared" ref="C147:C150" si="29">E147/D147</f>
        <v>6.8398268398268403E-2</v>
      </c>
      <c r="D147" s="213">
        <v>231</v>
      </c>
      <c r="E147" s="163">
        <v>15.8</v>
      </c>
      <c r="F147" s="38" t="s">
        <v>1</v>
      </c>
      <c r="G147" s="120">
        <v>140700</v>
      </c>
      <c r="H147" s="121">
        <f>E147*G147-1892</f>
        <v>2221168</v>
      </c>
      <c r="I147" s="217" t="s">
        <v>273</v>
      </c>
    </row>
    <row r="148" spans="1:9" s="134" customFormat="1" ht="20.399999999999999" customHeight="1">
      <c r="A148" s="354"/>
      <c r="B148" s="38" t="s">
        <v>256</v>
      </c>
      <c r="C148" s="144">
        <f t="shared" si="29"/>
        <v>3.67965367965368E-2</v>
      </c>
      <c r="D148" s="164">
        <v>231</v>
      </c>
      <c r="E148" s="287" t="s">
        <v>272</v>
      </c>
      <c r="F148" s="38" t="s">
        <v>1</v>
      </c>
      <c r="G148" s="120">
        <v>78750</v>
      </c>
      <c r="H148" s="121">
        <f>E148*G148</f>
        <v>669375</v>
      </c>
      <c r="I148" s="217"/>
    </row>
    <row r="149" spans="1:9" s="134" customFormat="1" ht="20.399999999999999" customHeight="1">
      <c r="A149" s="354"/>
      <c r="B149" s="38" t="s">
        <v>45</v>
      </c>
      <c r="C149" s="144">
        <f t="shared" si="29"/>
        <v>4.329004329004329E-3</v>
      </c>
      <c r="D149" s="213">
        <v>231</v>
      </c>
      <c r="E149" s="309" t="s">
        <v>26</v>
      </c>
      <c r="F149" s="38" t="s">
        <v>1</v>
      </c>
      <c r="G149" s="120">
        <v>173250</v>
      </c>
      <c r="H149" s="121">
        <f t="shared" ref="H149:H153" si="30">E149*G149</f>
        <v>173250</v>
      </c>
      <c r="I149" s="217">
        <f>231*17000</f>
        <v>3927000</v>
      </c>
    </row>
    <row r="150" spans="1:9" s="134" customFormat="1" ht="20.399999999999999" customHeight="1">
      <c r="A150" s="354"/>
      <c r="B150" s="38" t="s">
        <v>257</v>
      </c>
      <c r="C150" s="144">
        <f t="shared" si="29"/>
        <v>1.7748917748917747E-2</v>
      </c>
      <c r="D150" s="164">
        <v>231</v>
      </c>
      <c r="E150" s="309" t="s">
        <v>274</v>
      </c>
      <c r="F150" s="38" t="s">
        <v>4</v>
      </c>
      <c r="G150" s="120">
        <v>23100</v>
      </c>
      <c r="H150" s="121">
        <f t="shared" si="30"/>
        <v>94709.999999999985</v>
      </c>
      <c r="I150" s="217"/>
    </row>
    <row r="151" spans="1:9" s="134" customFormat="1" ht="20.399999999999999" customHeight="1">
      <c r="A151" s="354"/>
      <c r="B151" s="38" t="s">
        <v>258</v>
      </c>
      <c r="C151" s="171"/>
      <c r="D151" s="164"/>
      <c r="E151" s="309" t="s">
        <v>26</v>
      </c>
      <c r="F151" s="38" t="s">
        <v>4</v>
      </c>
      <c r="G151" s="120">
        <v>31500</v>
      </c>
      <c r="H151" s="121">
        <f t="shared" si="30"/>
        <v>31500</v>
      </c>
      <c r="I151" s="217"/>
    </row>
    <row r="152" spans="1:9" s="134" customFormat="1" ht="20.399999999999999" customHeight="1">
      <c r="A152" s="354"/>
      <c r="B152" s="38" t="s">
        <v>66</v>
      </c>
      <c r="C152" s="146"/>
      <c r="D152" s="38"/>
      <c r="E152" s="309" t="s">
        <v>46</v>
      </c>
      <c r="F152" s="38" t="s">
        <v>1</v>
      </c>
      <c r="G152" s="120">
        <v>60900</v>
      </c>
      <c r="H152" s="121">
        <f t="shared" si="30"/>
        <v>6090</v>
      </c>
      <c r="I152" s="217">
        <f>H155-I149</f>
        <v>0</v>
      </c>
    </row>
    <row r="153" spans="1:9" s="134" customFormat="1" ht="20.399999999999999" customHeight="1">
      <c r="A153" s="354"/>
      <c r="B153" s="38" t="s">
        <v>82</v>
      </c>
      <c r="C153" s="125"/>
      <c r="D153" s="38"/>
      <c r="E153" s="309" t="s">
        <v>46</v>
      </c>
      <c r="F153" s="38" t="s">
        <v>1</v>
      </c>
      <c r="G153" s="120">
        <v>42000</v>
      </c>
      <c r="H153" s="121">
        <f t="shared" si="30"/>
        <v>4200</v>
      </c>
      <c r="I153" s="217"/>
    </row>
    <row r="154" spans="1:9" s="134" customFormat="1" ht="20.399999999999999" customHeight="1">
      <c r="A154" s="289"/>
      <c r="B154" s="275" t="s">
        <v>25</v>
      </c>
      <c r="C154" s="275"/>
      <c r="D154" s="275"/>
      <c r="E154" s="316"/>
      <c r="F154" s="277"/>
      <c r="G154" s="275"/>
      <c r="H154" s="278">
        <f>144155-1248</f>
        <v>142907</v>
      </c>
      <c r="I154" s="217"/>
    </row>
    <row r="155" spans="1:9" s="134" customFormat="1" ht="20.399999999999999" customHeight="1">
      <c r="A155" s="218"/>
      <c r="B155" s="294"/>
      <c r="C155" s="220"/>
      <c r="D155" s="294"/>
      <c r="E155" s="317"/>
      <c r="F155" s="294"/>
      <c r="G155" s="296"/>
      <c r="H155" s="297">
        <f>SUM(H146:H154)</f>
        <v>3927000</v>
      </c>
      <c r="I155" s="217">
        <f>H155-I149</f>
        <v>0</v>
      </c>
    </row>
    <row r="156" spans="1:9" s="134" customFormat="1" ht="15" customHeight="1">
      <c r="A156" s="346" t="s">
        <v>266</v>
      </c>
      <c r="B156" s="98" t="s">
        <v>11</v>
      </c>
      <c r="C156" s="100">
        <f>E156/D156</f>
        <v>0.12034632034632035</v>
      </c>
      <c r="D156" s="213">
        <v>231</v>
      </c>
      <c r="E156" s="186" t="s">
        <v>108</v>
      </c>
      <c r="F156" s="113" t="s">
        <v>1</v>
      </c>
      <c r="G156" s="141">
        <v>21000</v>
      </c>
      <c r="H156" s="310">
        <f>G156*E156</f>
        <v>583800</v>
      </c>
      <c r="I156" s="284"/>
    </row>
    <row r="157" spans="1:9" s="134" customFormat="1" ht="24.6" customHeight="1">
      <c r="A157" s="346"/>
      <c r="B157" s="311" t="s">
        <v>129</v>
      </c>
      <c r="C157" s="101">
        <f>E157/D157</f>
        <v>9.9567099567099568E-2</v>
      </c>
      <c r="D157" s="17">
        <v>231</v>
      </c>
      <c r="E157" s="42">
        <v>23</v>
      </c>
      <c r="F157" s="17" t="s">
        <v>1</v>
      </c>
      <c r="G157" s="18">
        <v>87150</v>
      </c>
      <c r="H157" s="310">
        <f>G157*E157</f>
        <v>2004450</v>
      </c>
    </row>
    <row r="158" spans="1:9" s="134" customFormat="1" ht="15" customHeight="1">
      <c r="A158" s="346"/>
      <c r="B158" s="38" t="s">
        <v>36</v>
      </c>
      <c r="C158" s="38">
        <f t="shared" ref="C158" si="31">E158/D158</f>
        <v>5.2173913043478258E-2</v>
      </c>
      <c r="D158" s="38">
        <v>230</v>
      </c>
      <c r="E158" s="309" t="s">
        <v>109</v>
      </c>
      <c r="F158" s="38" t="s">
        <v>1</v>
      </c>
      <c r="G158" s="120">
        <v>67200</v>
      </c>
      <c r="H158" s="121">
        <f t="shared" ref="H158" si="32">E158*G158</f>
        <v>806400</v>
      </c>
    </row>
    <row r="159" spans="1:9" s="134" customFormat="1" ht="15" customHeight="1">
      <c r="A159" s="346"/>
      <c r="B159" s="38" t="s">
        <v>153</v>
      </c>
      <c r="C159" s="142">
        <f t="shared" ref="C159" si="33">E159/D159</f>
        <v>4.329004329004329E-3</v>
      </c>
      <c r="D159" s="164">
        <v>231</v>
      </c>
      <c r="E159" s="163">
        <v>1</v>
      </c>
      <c r="F159" s="38" t="s">
        <v>4</v>
      </c>
      <c r="G159" s="120">
        <v>141750</v>
      </c>
      <c r="H159" s="121">
        <f t="shared" ref="H159" si="34">E159*G159</f>
        <v>141750</v>
      </c>
    </row>
    <row r="160" spans="1:9" s="134" customFormat="1" ht="15" customHeight="1">
      <c r="A160" s="279"/>
      <c r="B160" s="213" t="s">
        <v>275</v>
      </c>
      <c r="C160" s="272"/>
      <c r="D160" s="213">
        <v>231</v>
      </c>
      <c r="E160" s="188" t="s">
        <v>277</v>
      </c>
      <c r="F160" s="213" t="s">
        <v>4</v>
      </c>
      <c r="G160" s="270">
        <v>25200</v>
      </c>
      <c r="H160" s="271">
        <f>E160*G160</f>
        <v>100800</v>
      </c>
    </row>
    <row r="161" spans="1:9" s="134" customFormat="1" ht="15" customHeight="1">
      <c r="A161" s="279"/>
      <c r="B161" s="213" t="s">
        <v>276</v>
      </c>
      <c r="C161" s="272"/>
      <c r="D161" s="213"/>
      <c r="E161" s="188" t="s">
        <v>74</v>
      </c>
      <c r="F161" s="213" t="s">
        <v>1</v>
      </c>
      <c r="G161" s="270">
        <v>22050</v>
      </c>
      <c r="H161" s="271">
        <f t="shared" ref="H161:H163" si="35">E161*G161</f>
        <v>136710</v>
      </c>
    </row>
    <row r="162" spans="1:9" s="134" customFormat="1" ht="15" customHeight="1">
      <c r="A162" s="279"/>
      <c r="B162" s="213" t="s">
        <v>41</v>
      </c>
      <c r="C162" s="268"/>
      <c r="D162" s="213"/>
      <c r="E162" s="188" t="s">
        <v>46</v>
      </c>
      <c r="F162" s="213" t="s">
        <v>4</v>
      </c>
      <c r="G162" s="120">
        <v>36750</v>
      </c>
      <c r="H162" s="121">
        <f t="shared" si="35"/>
        <v>3675</v>
      </c>
    </row>
    <row r="163" spans="1:9" s="134" customFormat="1" ht="15" customHeight="1">
      <c r="A163" s="279"/>
      <c r="B163" s="213" t="s">
        <v>12</v>
      </c>
      <c r="C163" s="216"/>
      <c r="D163" s="213"/>
      <c r="E163" s="318">
        <v>0.1</v>
      </c>
      <c r="F163" s="213" t="s">
        <v>1</v>
      </c>
      <c r="G163" s="120">
        <v>57750</v>
      </c>
      <c r="H163" s="121">
        <f t="shared" si="35"/>
        <v>5775</v>
      </c>
    </row>
    <row r="164" spans="1:9" s="134" customFormat="1" ht="15" customHeight="1">
      <c r="A164" s="279"/>
      <c r="B164" s="275" t="s">
        <v>25</v>
      </c>
      <c r="C164" s="275"/>
      <c r="D164" s="275"/>
      <c r="E164" s="316"/>
      <c r="F164" s="277"/>
      <c r="G164" s="275"/>
      <c r="H164" s="278">
        <f>144155-515</f>
        <v>143640</v>
      </c>
    </row>
    <row r="165" spans="1:9" s="155" customFormat="1" ht="19.8" customHeight="1">
      <c r="A165" s="222"/>
      <c r="B165" s="175"/>
      <c r="C165" s="175"/>
      <c r="D165" s="175"/>
      <c r="E165" s="189"/>
      <c r="F165" s="224"/>
      <c r="G165" s="175"/>
      <c r="H165" s="225">
        <f>SUM(H156:H164)</f>
        <v>3927000</v>
      </c>
      <c r="I165" s="183">
        <f>231*17000</f>
        <v>3927000</v>
      </c>
    </row>
    <row r="166" spans="1:9">
      <c r="A166" s="107"/>
      <c r="B166" s="107"/>
      <c r="C166" s="107"/>
      <c r="D166" s="107"/>
      <c r="E166" s="319"/>
    </row>
    <row r="167" spans="1:9" ht="18">
      <c r="A167" s="347" t="s">
        <v>28</v>
      </c>
      <c r="B167" s="347"/>
      <c r="C167" s="347" t="s">
        <v>29</v>
      </c>
      <c r="D167" s="347"/>
      <c r="E167" s="347"/>
      <c r="F167" s="1"/>
      <c r="G167" s="347" t="s">
        <v>30</v>
      </c>
      <c r="H167" s="347"/>
    </row>
    <row r="183" spans="1:10" ht="15.6">
      <c r="A183" s="6" t="s">
        <v>0</v>
      </c>
      <c r="B183" s="6"/>
    </row>
    <row r="184" spans="1:10" s="110" customFormat="1" ht="16.8" customHeight="1">
      <c r="A184" s="347" t="s">
        <v>236</v>
      </c>
      <c r="B184" s="347"/>
      <c r="C184" s="347"/>
      <c r="D184" s="347"/>
      <c r="E184" s="347"/>
      <c r="F184" s="347"/>
      <c r="G184" s="347"/>
      <c r="H184" s="347"/>
      <c r="I184" s="181">
        <f>1996200/15</f>
        <v>133080</v>
      </c>
    </row>
    <row r="185" spans="1:10" s="110" customFormat="1" ht="16.8" customHeight="1">
      <c r="A185" s="109"/>
      <c r="B185" s="348" t="s">
        <v>239</v>
      </c>
      <c r="C185" s="348"/>
      <c r="D185" s="348"/>
      <c r="E185" s="348"/>
      <c r="F185" s="348"/>
      <c r="G185" s="348"/>
      <c r="H185" s="348"/>
    </row>
    <row r="186" spans="1:10" ht="15" customHeight="1">
      <c r="A186" s="7" t="s">
        <v>15</v>
      </c>
      <c r="B186" s="8" t="s">
        <v>16</v>
      </c>
      <c r="C186" s="9" t="s">
        <v>17</v>
      </c>
      <c r="D186" s="10" t="s">
        <v>18</v>
      </c>
      <c r="E186" s="7" t="s">
        <v>19</v>
      </c>
      <c r="F186" s="11" t="s">
        <v>5</v>
      </c>
      <c r="G186" s="7" t="s">
        <v>20</v>
      </c>
      <c r="H186" s="7" t="s">
        <v>21</v>
      </c>
      <c r="J186" s="14" t="e">
        <f>#REF!*#REF!</f>
        <v>#REF!</v>
      </c>
    </row>
    <row r="187" spans="1:10" s="117" customFormat="1" ht="15" customHeight="1">
      <c r="A187" s="356" t="s">
        <v>240</v>
      </c>
      <c r="B187" s="98" t="s">
        <v>11</v>
      </c>
      <c r="C187" s="100">
        <f>E187/D187</f>
        <v>0.11991341991341992</v>
      </c>
      <c r="D187" s="12">
        <v>231</v>
      </c>
      <c r="E187" s="190">
        <v>27.7</v>
      </c>
      <c r="F187" s="12" t="s">
        <v>1</v>
      </c>
      <c r="G187" s="99">
        <v>21525</v>
      </c>
      <c r="H187" s="14">
        <f>G187*E187</f>
        <v>596242.5</v>
      </c>
      <c r="I187" s="116"/>
      <c r="J187" s="121" t="e">
        <f>#REF!*#REF!</f>
        <v>#REF!</v>
      </c>
    </row>
    <row r="188" spans="1:10" s="117" customFormat="1" ht="15" customHeight="1">
      <c r="A188" s="357"/>
      <c r="B188" s="17" t="s">
        <v>129</v>
      </c>
      <c r="C188" s="101">
        <f>E188/D188</f>
        <v>0.11038961038961038</v>
      </c>
      <c r="D188" s="17">
        <v>231</v>
      </c>
      <c r="E188" s="42">
        <v>25.5</v>
      </c>
      <c r="F188" s="17" t="s">
        <v>1</v>
      </c>
      <c r="G188" s="18">
        <v>86100</v>
      </c>
      <c r="H188" s="19">
        <f>G188*E188</f>
        <v>2195550</v>
      </c>
      <c r="I188" s="124">
        <f>232*17000</f>
        <v>3944000</v>
      </c>
      <c r="J188" s="121" t="e">
        <f>#REF!*#REF!</f>
        <v>#REF!</v>
      </c>
    </row>
    <row r="189" spans="1:10" s="117" customFormat="1" ht="19.2" customHeight="1">
      <c r="A189" s="358"/>
      <c r="B189" s="17" t="s">
        <v>130</v>
      </c>
      <c r="C189" s="101">
        <f t="shared" ref="C189:C192" si="36">E189/D189</f>
        <v>3.67965367965368E-2</v>
      </c>
      <c r="D189" s="17">
        <v>231</v>
      </c>
      <c r="E189" s="42">
        <v>8.5</v>
      </c>
      <c r="F189" s="17" t="s">
        <v>1</v>
      </c>
      <c r="G189" s="18">
        <v>67200</v>
      </c>
      <c r="H189" s="19">
        <f t="shared" ref="H189:H192" si="37">G189*E189</f>
        <v>571200</v>
      </c>
      <c r="I189" s="128">
        <f>I188-H197</f>
        <v>17000.5</v>
      </c>
      <c r="J189" s="121" t="e">
        <f>#REF!*#REF!</f>
        <v>#REF!</v>
      </c>
    </row>
    <row r="190" spans="1:10" s="117" customFormat="1" ht="21.6" customHeight="1">
      <c r="A190" s="358"/>
      <c r="B190" s="17" t="s">
        <v>78</v>
      </c>
      <c r="C190" s="101">
        <f t="shared" si="36"/>
        <v>1.2987012987012988E-2</v>
      </c>
      <c r="D190" s="17">
        <v>231</v>
      </c>
      <c r="E190" s="287" t="s">
        <v>48</v>
      </c>
      <c r="F190" s="17" t="s">
        <v>1</v>
      </c>
      <c r="G190" s="18">
        <v>78750</v>
      </c>
      <c r="H190" s="19">
        <f t="shared" si="37"/>
        <v>236250</v>
      </c>
      <c r="J190" s="121">
        <f>184800+136500</f>
        <v>321300</v>
      </c>
    </row>
    <row r="191" spans="1:10" s="117" customFormat="1" ht="15" customHeight="1">
      <c r="A191" s="358"/>
      <c r="B191" s="17" t="s">
        <v>79</v>
      </c>
      <c r="C191" s="101">
        <f t="shared" si="36"/>
        <v>4.0259740259740266E-2</v>
      </c>
      <c r="D191" s="17">
        <v>231</v>
      </c>
      <c r="E191" s="287" t="s">
        <v>245</v>
      </c>
      <c r="F191" s="17" t="s">
        <v>1</v>
      </c>
      <c r="G191" s="18">
        <v>18900</v>
      </c>
      <c r="H191" s="19">
        <f t="shared" si="37"/>
        <v>175770</v>
      </c>
      <c r="I191" s="124">
        <f>231*17000</f>
        <v>3927000</v>
      </c>
      <c r="J191" s="121">
        <v>136716</v>
      </c>
    </row>
    <row r="192" spans="1:10" s="117" customFormat="1" ht="15" customHeight="1">
      <c r="A192" s="358"/>
      <c r="B192" s="17" t="s">
        <v>81</v>
      </c>
      <c r="C192" s="101">
        <f t="shared" si="36"/>
        <v>4.329004329004329E-4</v>
      </c>
      <c r="D192" s="17">
        <v>231</v>
      </c>
      <c r="E192" s="287" t="s">
        <v>46</v>
      </c>
      <c r="F192" s="17" t="s">
        <v>1</v>
      </c>
      <c r="G192" s="18">
        <v>63000</v>
      </c>
      <c r="H192" s="19">
        <f t="shared" si="37"/>
        <v>6300</v>
      </c>
      <c r="I192" s="128">
        <f>H197-I191</f>
        <v>-0.5</v>
      </c>
      <c r="J192" s="132"/>
    </row>
    <row r="193" spans="1:10" s="117" customFormat="1" ht="15" customHeight="1">
      <c r="A193" s="358"/>
      <c r="B193" s="17" t="s">
        <v>229</v>
      </c>
      <c r="C193" s="76"/>
      <c r="D193" s="17"/>
      <c r="E193" s="287" t="s">
        <v>46</v>
      </c>
      <c r="F193" s="68" t="s">
        <v>1</v>
      </c>
      <c r="G193" s="18">
        <v>47250</v>
      </c>
      <c r="H193" s="19">
        <f t="shared" ref="H193:H195" si="38">E193*G193</f>
        <v>4725</v>
      </c>
      <c r="I193" s="128">
        <f>0.1*232</f>
        <v>23.200000000000003</v>
      </c>
      <c r="J193" s="132"/>
    </row>
    <row r="194" spans="1:10" s="117" customFormat="1" ht="15" customHeight="1">
      <c r="A194" s="358"/>
      <c r="B194" s="38" t="s">
        <v>12</v>
      </c>
      <c r="C194" s="38"/>
      <c r="D194" s="38"/>
      <c r="E194" s="163">
        <v>0.1</v>
      </c>
      <c r="F194" s="38" t="s">
        <v>1</v>
      </c>
      <c r="G194" s="120">
        <v>57750</v>
      </c>
      <c r="H194" s="121">
        <f t="shared" si="38"/>
        <v>5775</v>
      </c>
      <c r="I194" s="128"/>
      <c r="J194" s="132"/>
    </row>
    <row r="195" spans="1:10" s="117" customFormat="1" ht="15" customHeight="1">
      <c r="A195" s="358"/>
      <c r="B195" s="38" t="s">
        <v>82</v>
      </c>
      <c r="C195" s="125"/>
      <c r="D195" s="38"/>
      <c r="E195" s="309" t="s">
        <v>46</v>
      </c>
      <c r="F195" s="38" t="s">
        <v>1</v>
      </c>
      <c r="G195" s="120">
        <v>42000</v>
      </c>
      <c r="H195" s="121">
        <f t="shared" si="38"/>
        <v>4200</v>
      </c>
      <c r="J195" s="132"/>
    </row>
    <row r="196" spans="1:10" s="117" customFormat="1" ht="15" customHeight="1">
      <c r="A196" s="358"/>
      <c r="B196" s="125" t="s">
        <v>25</v>
      </c>
      <c r="C196" s="125"/>
      <c r="D196" s="125"/>
      <c r="E196" s="312"/>
      <c r="F196" s="127"/>
      <c r="G196" s="125"/>
      <c r="H196" s="278">
        <f>130426+562-1</f>
        <v>130987</v>
      </c>
      <c r="J196" s="132"/>
    </row>
    <row r="197" spans="1:10" s="148" customFormat="1" ht="22.2" customHeight="1">
      <c r="A197" s="359"/>
      <c r="B197" s="298"/>
      <c r="C197" s="298"/>
      <c r="D197" s="298"/>
      <c r="E197" s="320"/>
      <c r="F197" s="300"/>
      <c r="G197" s="298"/>
      <c r="H197" s="301">
        <f>SUM(H187:H196)</f>
        <v>3926999.5</v>
      </c>
      <c r="I197" s="147">
        <f>H197-I191</f>
        <v>-0.5</v>
      </c>
    </row>
    <row r="198" spans="1:10" s="117" customFormat="1" ht="15" customHeight="1">
      <c r="A198" s="349" t="s">
        <v>241</v>
      </c>
      <c r="B198" s="111" t="s">
        <v>11</v>
      </c>
      <c r="C198" s="112">
        <f>E198/D198</f>
        <v>0.12008733624454149</v>
      </c>
      <c r="D198" s="38">
        <v>229</v>
      </c>
      <c r="E198" s="184">
        <v>27.5</v>
      </c>
      <c r="F198" s="113" t="s">
        <v>1</v>
      </c>
      <c r="G198" s="114">
        <v>21525</v>
      </c>
      <c r="H198" s="115">
        <f>E198*G198</f>
        <v>591937.5</v>
      </c>
      <c r="I198" s="182">
        <f>H197-I188</f>
        <v>-17000.5</v>
      </c>
    </row>
    <row r="199" spans="1:10" s="117" customFormat="1" ht="15" customHeight="1">
      <c r="A199" s="350"/>
      <c r="B199" s="213" t="s">
        <v>6</v>
      </c>
      <c r="C199" s="38">
        <f>E199/D199</f>
        <v>7.1615720524017462E-2</v>
      </c>
      <c r="D199" s="38">
        <v>229</v>
      </c>
      <c r="E199" s="216">
        <v>16.399999999999999</v>
      </c>
      <c r="F199" s="38" t="s">
        <v>1</v>
      </c>
      <c r="G199" s="120">
        <v>141750</v>
      </c>
      <c r="H199" s="121">
        <f>E199*G199</f>
        <v>2324700</v>
      </c>
      <c r="I199" s="123">
        <f>229*17000</f>
        <v>3893000</v>
      </c>
    </row>
    <row r="200" spans="1:10" s="117" customFormat="1" ht="15" customHeight="1">
      <c r="A200" s="350"/>
      <c r="B200" s="213" t="s">
        <v>34</v>
      </c>
      <c r="C200" s="38">
        <f t="shared" ref="C200:C201" si="39">E200/D200</f>
        <v>3.0567685589519651E-3</v>
      </c>
      <c r="D200" s="38">
        <v>229</v>
      </c>
      <c r="E200" s="188" t="s">
        <v>35</v>
      </c>
      <c r="F200" s="38" t="s">
        <v>1</v>
      </c>
      <c r="G200" s="120">
        <v>304500</v>
      </c>
      <c r="H200" s="121">
        <f t="shared" ref="H200:H204" si="40">E200*G200</f>
        <v>213150</v>
      </c>
    </row>
    <row r="201" spans="1:10" s="117" customFormat="1" ht="15" customHeight="1">
      <c r="A201" s="350"/>
      <c r="B201" s="213" t="s">
        <v>36</v>
      </c>
      <c r="C201" s="38">
        <f t="shared" si="39"/>
        <v>3.0567685589519649E-2</v>
      </c>
      <c r="D201" s="38">
        <v>229</v>
      </c>
      <c r="E201" s="188" t="s">
        <v>131</v>
      </c>
      <c r="F201" s="38" t="s">
        <v>1</v>
      </c>
      <c r="G201" s="120">
        <v>67200</v>
      </c>
      <c r="H201" s="121">
        <f t="shared" si="40"/>
        <v>470400</v>
      </c>
      <c r="I201" s="135">
        <f>I199-H206</f>
        <v>0.5</v>
      </c>
    </row>
    <row r="202" spans="1:10" s="117" customFormat="1" ht="15" customHeight="1">
      <c r="A202" s="350"/>
      <c r="B202" s="38" t="s">
        <v>55</v>
      </c>
      <c r="C202" s="163"/>
      <c r="D202" s="38"/>
      <c r="E202" s="163">
        <v>0.1</v>
      </c>
      <c r="F202" s="38" t="s">
        <v>4</v>
      </c>
      <c r="G202" s="120">
        <v>36750</v>
      </c>
      <c r="H202" s="121">
        <f t="shared" si="40"/>
        <v>3675</v>
      </c>
    </row>
    <row r="203" spans="1:10" s="117" customFormat="1" ht="15" customHeight="1">
      <c r="A203" s="350"/>
      <c r="B203" s="162" t="s">
        <v>154</v>
      </c>
      <c r="C203" s="163"/>
      <c r="D203" s="166"/>
      <c r="E203" s="185">
        <v>8.1999999999999993</v>
      </c>
      <c r="F203" s="38" t="s">
        <v>1</v>
      </c>
      <c r="G203" s="120">
        <v>18900</v>
      </c>
      <c r="H203" s="121">
        <f t="shared" si="40"/>
        <v>154980</v>
      </c>
    </row>
    <row r="204" spans="1:10" s="117" customFormat="1" ht="15" customHeight="1">
      <c r="A204" s="350"/>
      <c r="B204" s="38" t="s">
        <v>12</v>
      </c>
      <c r="C204" s="38"/>
      <c r="D204" s="38"/>
      <c r="E204" s="163">
        <v>0.1</v>
      </c>
      <c r="F204" s="38" t="s">
        <v>1</v>
      </c>
      <c r="G204" s="120">
        <v>57750</v>
      </c>
      <c r="H204" s="121">
        <f t="shared" si="40"/>
        <v>5775</v>
      </c>
    </row>
    <row r="205" spans="1:10" s="117" customFormat="1" ht="15" customHeight="1">
      <c r="A205" s="351"/>
      <c r="B205" s="125" t="s">
        <v>25</v>
      </c>
      <c r="C205" s="125"/>
      <c r="D205" s="125"/>
      <c r="E205" s="312"/>
      <c r="F205" s="127"/>
      <c r="G205" s="125"/>
      <c r="H205" s="121">
        <f>130426-2044</f>
        <v>128382</v>
      </c>
      <c r="I205" s="117">
        <v>130426</v>
      </c>
    </row>
    <row r="206" spans="1:10" s="148" customFormat="1" ht="18.600000000000001" customHeight="1">
      <c r="A206" s="149"/>
      <c r="B206" s="150"/>
      <c r="C206" s="151"/>
      <c r="D206" s="151"/>
      <c r="E206" s="313"/>
      <c r="F206" s="153"/>
      <c r="G206" s="150"/>
      <c r="H206" s="154">
        <f>SUM(H198:H205)</f>
        <v>3892999.5</v>
      </c>
      <c r="I206" s="183">
        <f>H206-I199</f>
        <v>-0.5</v>
      </c>
    </row>
    <row r="207" spans="1:10" s="232" customFormat="1" ht="15" customHeight="1">
      <c r="A207" s="241"/>
      <c r="B207" s="111" t="s">
        <v>22</v>
      </c>
      <c r="C207" s="264">
        <f>E207/D207</f>
        <v>0.1206140350877193</v>
      </c>
      <c r="D207" s="213">
        <v>228</v>
      </c>
      <c r="E207" s="187" t="s">
        <v>161</v>
      </c>
      <c r="F207" s="265" t="s">
        <v>1</v>
      </c>
      <c r="G207" s="266">
        <v>21000</v>
      </c>
      <c r="H207" s="267">
        <f>E207*G207</f>
        <v>577500</v>
      </c>
      <c r="I207" s="232">
        <f>4205303-3893000</f>
        <v>312303</v>
      </c>
    </row>
    <row r="208" spans="1:10" s="232" customFormat="1" ht="15" customHeight="1">
      <c r="A208" s="360" t="s">
        <v>242</v>
      </c>
      <c r="B208" s="265" t="s">
        <v>184</v>
      </c>
      <c r="C208" s="268">
        <f t="shared" ref="C208:C210" si="41">E208/D208</f>
        <v>7.8070175438596498E-2</v>
      </c>
      <c r="D208" s="213">
        <v>228</v>
      </c>
      <c r="E208" s="187" t="s">
        <v>246</v>
      </c>
      <c r="F208" s="213" t="s">
        <v>1</v>
      </c>
      <c r="G208" s="266">
        <v>129150</v>
      </c>
      <c r="H208" s="271">
        <f>G208*E208</f>
        <v>2298870</v>
      </c>
    </row>
    <row r="209" spans="1:9" s="232" customFormat="1" ht="19.2" customHeight="1">
      <c r="A209" s="360"/>
      <c r="B209" s="38" t="s">
        <v>153</v>
      </c>
      <c r="C209" s="142">
        <f t="shared" si="41"/>
        <v>4.3859649122807015E-3</v>
      </c>
      <c r="D209" s="164">
        <v>228</v>
      </c>
      <c r="E209" s="163">
        <v>1</v>
      </c>
      <c r="F209" s="38" t="s">
        <v>4</v>
      </c>
      <c r="G209" s="120">
        <v>141750</v>
      </c>
      <c r="H209" s="121">
        <f t="shared" ref="H209" si="42">E209*G209</f>
        <v>141750</v>
      </c>
      <c r="I209" s="256">
        <f>232*17000</f>
        <v>3944000</v>
      </c>
    </row>
    <row r="210" spans="1:9" s="232" customFormat="1" ht="15" customHeight="1">
      <c r="A210" s="360"/>
      <c r="B210" s="213" t="s">
        <v>7</v>
      </c>
      <c r="C210" s="272">
        <f t="shared" si="41"/>
        <v>0.57456140350877194</v>
      </c>
      <c r="D210" s="213">
        <v>228</v>
      </c>
      <c r="E210" s="188" t="s">
        <v>185</v>
      </c>
      <c r="F210" s="213" t="s">
        <v>1</v>
      </c>
      <c r="G210" s="270">
        <v>3510</v>
      </c>
      <c r="H210" s="271">
        <f>E210*G210</f>
        <v>459810</v>
      </c>
    </row>
    <row r="211" spans="1:9" s="232" customFormat="1" ht="15" customHeight="1">
      <c r="A211" s="360"/>
      <c r="B211" s="213" t="s">
        <v>187</v>
      </c>
      <c r="C211" s="272"/>
      <c r="D211" s="213"/>
      <c r="E211" s="188" t="s">
        <v>189</v>
      </c>
      <c r="F211" s="213" t="s">
        <v>188</v>
      </c>
      <c r="G211" s="270">
        <v>37800</v>
      </c>
      <c r="H211" s="271">
        <f>E211*G211</f>
        <v>75600</v>
      </c>
    </row>
    <row r="212" spans="1:9" s="232" customFormat="1" ht="15" customHeight="1">
      <c r="A212" s="360"/>
      <c r="B212" s="213" t="s">
        <v>197</v>
      </c>
      <c r="C212" s="272"/>
      <c r="D212" s="213"/>
      <c r="E212" s="188" t="s">
        <v>26</v>
      </c>
      <c r="F212" s="213" t="s">
        <v>4</v>
      </c>
      <c r="G212" s="270">
        <v>44280</v>
      </c>
      <c r="H212" s="271">
        <f>E212*G212</f>
        <v>44280</v>
      </c>
    </row>
    <row r="213" spans="1:9" s="232" customFormat="1" ht="15" customHeight="1">
      <c r="A213" s="360"/>
      <c r="B213" s="213" t="s">
        <v>198</v>
      </c>
      <c r="C213" s="272"/>
      <c r="D213" s="213"/>
      <c r="E213" s="188" t="s">
        <v>247</v>
      </c>
      <c r="F213" s="213" t="s">
        <v>1</v>
      </c>
      <c r="G213" s="270">
        <v>24150</v>
      </c>
      <c r="H213" s="271">
        <f t="shared" ref="H213:H215" si="43">E213*G213</f>
        <v>132825</v>
      </c>
    </row>
    <row r="214" spans="1:9" s="232" customFormat="1" ht="15" customHeight="1">
      <c r="A214" s="360"/>
      <c r="B214" s="213" t="s">
        <v>41</v>
      </c>
      <c r="C214" s="268"/>
      <c r="D214" s="213"/>
      <c r="E214" s="188" t="s">
        <v>46</v>
      </c>
      <c r="F214" s="213" t="s">
        <v>4</v>
      </c>
      <c r="G214" s="120">
        <v>36750</v>
      </c>
      <c r="H214" s="121">
        <f t="shared" si="43"/>
        <v>3675</v>
      </c>
    </row>
    <row r="215" spans="1:9" s="232" customFormat="1" ht="15" customHeight="1">
      <c r="A215" s="360"/>
      <c r="B215" s="213" t="s">
        <v>12</v>
      </c>
      <c r="C215" s="216"/>
      <c r="D215" s="213"/>
      <c r="E215" s="318">
        <v>0.2</v>
      </c>
      <c r="F215" s="213" t="s">
        <v>1</v>
      </c>
      <c r="G215" s="120">
        <v>57750</v>
      </c>
      <c r="H215" s="121">
        <f t="shared" si="43"/>
        <v>11550</v>
      </c>
      <c r="I215" s="263">
        <f>228*17000</f>
        <v>3876000</v>
      </c>
    </row>
    <row r="216" spans="1:9" s="232" customFormat="1" ht="15" customHeight="1">
      <c r="A216" s="360"/>
      <c r="B216" s="275" t="s">
        <v>25</v>
      </c>
      <c r="C216" s="275"/>
      <c r="D216" s="275"/>
      <c r="E216" s="316"/>
      <c r="F216" s="277"/>
      <c r="G216" s="275"/>
      <c r="H216" s="278">
        <f>130426+286</f>
        <v>130712</v>
      </c>
    </row>
    <row r="217" spans="1:9" s="134" customFormat="1" ht="20.399999999999999" customHeight="1">
      <c r="A217" s="218"/>
      <c r="B217" s="20"/>
      <c r="C217" s="20"/>
      <c r="D217" s="20"/>
      <c r="E217" s="315"/>
      <c r="F217" s="21"/>
      <c r="G217" s="20"/>
      <c r="H217" s="5">
        <f>SUM(H207:H216)</f>
        <v>3876572</v>
      </c>
      <c r="I217" s="217">
        <f>H217-I215</f>
        <v>572</v>
      </c>
    </row>
    <row r="218" spans="1:9" s="134" customFormat="1" ht="20.399999999999999" customHeight="1">
      <c r="A218" s="353" t="s">
        <v>243</v>
      </c>
      <c r="B218" s="113" t="s">
        <v>22</v>
      </c>
      <c r="C218" s="140">
        <f>E218/D218</f>
        <v>0.1206140350877193</v>
      </c>
      <c r="D218" s="213">
        <v>228</v>
      </c>
      <c r="E218" s="186" t="s">
        <v>161</v>
      </c>
      <c r="F218" s="113" t="s">
        <v>1</v>
      </c>
      <c r="G218" s="141">
        <v>21000</v>
      </c>
      <c r="H218" s="115">
        <f>E218*G218</f>
        <v>577500</v>
      </c>
      <c r="I218" s="217"/>
    </row>
    <row r="219" spans="1:9" s="134" customFormat="1" ht="20.399999999999999" customHeight="1">
      <c r="A219" s="354"/>
      <c r="B219" s="38" t="s">
        <v>87</v>
      </c>
      <c r="C219" s="142">
        <f t="shared" ref="C219:C220" si="44">E219/D219</f>
        <v>6.9736842105263153E-2</v>
      </c>
      <c r="D219" s="213">
        <v>228</v>
      </c>
      <c r="E219" s="163">
        <v>15.9</v>
      </c>
      <c r="F219" s="38" t="s">
        <v>1</v>
      </c>
      <c r="G219" s="120">
        <v>140700</v>
      </c>
      <c r="H219" s="121">
        <f>E219*G219-1892</f>
        <v>2235238</v>
      </c>
      <c r="I219" s="217"/>
    </row>
    <row r="220" spans="1:9" s="134" customFormat="1" ht="20.399999999999999" customHeight="1">
      <c r="A220" s="354"/>
      <c r="B220" s="38" t="s">
        <v>130</v>
      </c>
      <c r="C220" s="144">
        <f t="shared" si="44"/>
        <v>3.2017543859649125E-2</v>
      </c>
      <c r="D220" s="164">
        <v>228</v>
      </c>
      <c r="E220" s="287" t="s">
        <v>152</v>
      </c>
      <c r="F220" s="38" t="s">
        <v>1</v>
      </c>
      <c r="G220" s="120">
        <v>67200</v>
      </c>
      <c r="H220" s="121">
        <f>E220*G220</f>
        <v>490560</v>
      </c>
      <c r="I220" s="217"/>
    </row>
    <row r="221" spans="1:9" s="134" customFormat="1" ht="20.399999999999999" customHeight="1">
      <c r="A221" s="354"/>
      <c r="B221" s="38" t="s">
        <v>78</v>
      </c>
      <c r="C221" s="144"/>
      <c r="D221" s="213">
        <v>228</v>
      </c>
      <c r="E221" s="309" t="s">
        <v>48</v>
      </c>
      <c r="F221" s="38" t="s">
        <v>1</v>
      </c>
      <c r="G221" s="120">
        <v>78750</v>
      </c>
      <c r="H221" s="121">
        <f t="shared" ref="H221:H225" si="45">E221*G221</f>
        <v>236250</v>
      </c>
      <c r="I221" s="217">
        <f>229*17000</f>
        <v>3893000</v>
      </c>
    </row>
    <row r="222" spans="1:9" s="134" customFormat="1" ht="20.399999999999999" customHeight="1">
      <c r="A222" s="354"/>
      <c r="B222" s="38" t="s">
        <v>79</v>
      </c>
      <c r="C222" s="144"/>
      <c r="D222" s="164">
        <v>228</v>
      </c>
      <c r="E222" s="309" t="s">
        <v>237</v>
      </c>
      <c r="F222" s="38" t="s">
        <v>4</v>
      </c>
      <c r="G222" s="120">
        <v>20478</v>
      </c>
      <c r="H222" s="121">
        <f t="shared" si="45"/>
        <v>204780</v>
      </c>
      <c r="I222" s="217"/>
    </row>
    <row r="223" spans="1:9" s="134" customFormat="1" ht="20.399999999999999" customHeight="1">
      <c r="A223" s="354"/>
      <c r="B223" s="38" t="s">
        <v>81</v>
      </c>
      <c r="C223" s="38"/>
      <c r="D223" s="38"/>
      <c r="E223" s="309" t="s">
        <v>46</v>
      </c>
      <c r="F223" s="38" t="s">
        <v>1</v>
      </c>
      <c r="G223" s="120">
        <v>63000</v>
      </c>
      <c r="H223" s="121">
        <f t="shared" si="45"/>
        <v>6300</v>
      </c>
      <c r="I223" s="217"/>
    </row>
    <row r="224" spans="1:9" s="134" customFormat="1" ht="20.399999999999999" customHeight="1">
      <c r="A224" s="354"/>
      <c r="B224" s="38" t="s">
        <v>66</v>
      </c>
      <c r="C224" s="146"/>
      <c r="D224" s="38"/>
      <c r="E224" s="309" t="s">
        <v>46</v>
      </c>
      <c r="F224" s="38" t="s">
        <v>1</v>
      </c>
      <c r="G224" s="120">
        <v>60900</v>
      </c>
      <c r="H224" s="121">
        <f t="shared" si="45"/>
        <v>6090</v>
      </c>
      <c r="I224" s="217">
        <f>H227-I221</f>
        <v>0</v>
      </c>
    </row>
    <row r="225" spans="1:9" s="134" customFormat="1" ht="20.399999999999999" customHeight="1">
      <c r="A225" s="354"/>
      <c r="B225" s="38" t="s">
        <v>82</v>
      </c>
      <c r="C225" s="125"/>
      <c r="D225" s="38"/>
      <c r="E225" s="309" t="s">
        <v>46</v>
      </c>
      <c r="F225" s="38" t="s">
        <v>1</v>
      </c>
      <c r="G225" s="120">
        <v>42000</v>
      </c>
      <c r="H225" s="121">
        <f t="shared" si="45"/>
        <v>4200</v>
      </c>
      <c r="I225" s="217"/>
    </row>
    <row r="226" spans="1:9" s="134" customFormat="1" ht="20.399999999999999" customHeight="1">
      <c r="A226" s="289"/>
      <c r="B226" s="275" t="s">
        <v>25</v>
      </c>
      <c r="C226" s="275"/>
      <c r="D226" s="275"/>
      <c r="E226" s="316"/>
      <c r="F226" s="277"/>
      <c r="G226" s="275"/>
      <c r="H226" s="278">
        <f>130426+1288+368</f>
        <v>132082</v>
      </c>
      <c r="I226" s="217"/>
    </row>
    <row r="227" spans="1:9" s="134" customFormat="1" ht="20.399999999999999" customHeight="1">
      <c r="A227" s="218"/>
      <c r="B227" s="294"/>
      <c r="C227" s="220"/>
      <c r="D227" s="294"/>
      <c r="E227" s="317"/>
      <c r="F227" s="294"/>
      <c r="G227" s="296"/>
      <c r="H227" s="297">
        <f>SUM(H218:H226)</f>
        <v>3893000</v>
      </c>
      <c r="I227" s="217">
        <f>H227-I221</f>
        <v>0</v>
      </c>
    </row>
    <row r="228" spans="1:9" s="134" customFormat="1" ht="15" customHeight="1">
      <c r="A228" s="346" t="s">
        <v>244</v>
      </c>
      <c r="B228" s="111" t="s">
        <v>11</v>
      </c>
      <c r="C228" s="112">
        <f>E228/D228</f>
        <v>0.1206140350877193</v>
      </c>
      <c r="D228" s="38">
        <v>228</v>
      </c>
      <c r="E228" s="184">
        <v>27.5</v>
      </c>
      <c r="F228" s="113" t="s">
        <v>1</v>
      </c>
      <c r="G228" s="114">
        <v>21000</v>
      </c>
      <c r="H228" s="115">
        <f>E228*G228</f>
        <v>577500</v>
      </c>
      <c r="I228" s="284"/>
    </row>
    <row r="229" spans="1:9" s="134" customFormat="1" ht="15" customHeight="1">
      <c r="A229" s="346"/>
      <c r="B229" s="38" t="s">
        <v>42</v>
      </c>
      <c r="C229" s="38">
        <f>E229/D229</f>
        <v>5.8333333333333334E-2</v>
      </c>
      <c r="D229" s="38">
        <v>228</v>
      </c>
      <c r="E229" s="163">
        <v>13.3</v>
      </c>
      <c r="F229" s="38" t="s">
        <v>1</v>
      </c>
      <c r="G229" s="120">
        <v>169560</v>
      </c>
      <c r="H229" s="121">
        <f>E229*G229</f>
        <v>2255148</v>
      </c>
    </row>
    <row r="230" spans="1:9" s="134" customFormat="1" ht="15" customHeight="1">
      <c r="A230" s="346"/>
      <c r="B230" s="38" t="s">
        <v>43</v>
      </c>
      <c r="C230" s="38">
        <f t="shared" ref="C230:C232" si="46">E230/D230</f>
        <v>0.57456140350877194</v>
      </c>
      <c r="D230" s="38">
        <v>228</v>
      </c>
      <c r="E230" s="163">
        <v>131</v>
      </c>
      <c r="F230" s="38" t="s">
        <v>1</v>
      </c>
      <c r="G230" s="120">
        <v>3456</v>
      </c>
      <c r="H230" s="121">
        <f t="shared" ref="H230:H235" si="47">E230*G230</f>
        <v>452736</v>
      </c>
    </row>
    <row r="231" spans="1:9" s="134" customFormat="1" ht="15" customHeight="1">
      <c r="A231" s="346"/>
      <c r="B231" s="38" t="s">
        <v>44</v>
      </c>
      <c r="C231" s="38">
        <f t="shared" si="46"/>
        <v>2.7192982456140352E-2</v>
      </c>
      <c r="D231" s="38">
        <v>228</v>
      </c>
      <c r="E231" s="163">
        <v>6.2</v>
      </c>
      <c r="F231" s="38" t="s">
        <v>1</v>
      </c>
      <c r="G231" s="120">
        <v>23100</v>
      </c>
      <c r="H231" s="121">
        <f t="shared" si="47"/>
        <v>143220</v>
      </c>
    </row>
    <row r="232" spans="1:9" s="134" customFormat="1" ht="15" customHeight="1">
      <c r="A232" s="279"/>
      <c r="B232" s="38" t="s">
        <v>153</v>
      </c>
      <c r="C232" s="142">
        <f t="shared" si="46"/>
        <v>4.3859649122807015E-3</v>
      </c>
      <c r="D232" s="38">
        <v>228</v>
      </c>
      <c r="E232" s="163">
        <v>1</v>
      </c>
      <c r="F232" s="38" t="s">
        <v>4</v>
      </c>
      <c r="G232" s="120">
        <v>141750</v>
      </c>
      <c r="H232" s="121">
        <f t="shared" si="47"/>
        <v>141750</v>
      </c>
    </row>
    <row r="233" spans="1:9" s="134" customFormat="1" ht="15" customHeight="1">
      <c r="A233" s="279"/>
      <c r="B233" s="38" t="s">
        <v>55</v>
      </c>
      <c r="C233" s="163"/>
      <c r="D233" s="38"/>
      <c r="E233" s="163">
        <v>0.1</v>
      </c>
      <c r="F233" s="38" t="s">
        <v>4</v>
      </c>
      <c r="G233" s="120">
        <v>36750</v>
      </c>
      <c r="H233" s="121">
        <f t="shared" si="47"/>
        <v>3675</v>
      </c>
    </row>
    <row r="234" spans="1:9" s="134" customFormat="1" ht="15" customHeight="1">
      <c r="A234" s="279"/>
      <c r="B234" s="162" t="s">
        <v>154</v>
      </c>
      <c r="C234" s="163"/>
      <c r="D234" s="166"/>
      <c r="E234" s="185">
        <v>8.8000000000000007</v>
      </c>
      <c r="F234" s="38" t="s">
        <v>1</v>
      </c>
      <c r="G234" s="120">
        <v>18900</v>
      </c>
      <c r="H234" s="121">
        <f t="shared" si="47"/>
        <v>166320</v>
      </c>
    </row>
    <row r="235" spans="1:9" s="134" customFormat="1" ht="15" customHeight="1">
      <c r="A235" s="279"/>
      <c r="B235" s="38" t="s">
        <v>12</v>
      </c>
      <c r="C235" s="38"/>
      <c r="D235" s="38"/>
      <c r="E235" s="163">
        <v>0.1</v>
      </c>
      <c r="F235" s="38" t="s">
        <v>1</v>
      </c>
      <c r="G235" s="120">
        <v>57750</v>
      </c>
      <c r="H235" s="121">
        <f t="shared" si="47"/>
        <v>5775</v>
      </c>
    </row>
    <row r="236" spans="1:9" s="134" customFormat="1" ht="15" customHeight="1">
      <c r="A236" s="279"/>
      <c r="B236" s="125" t="s">
        <v>25</v>
      </c>
      <c r="C236" s="125"/>
      <c r="D236" s="125"/>
      <c r="E236" s="312"/>
      <c r="F236" s="127"/>
      <c r="G236" s="125"/>
      <c r="H236" s="278">
        <f>130426-550</f>
        <v>129876</v>
      </c>
    </row>
    <row r="237" spans="1:9" s="155" customFormat="1" ht="19.8" customHeight="1">
      <c r="A237" s="222"/>
      <c r="B237" s="175"/>
      <c r="C237" s="175"/>
      <c r="D237" s="175"/>
      <c r="E237" s="189"/>
      <c r="F237" s="224"/>
      <c r="G237" s="175"/>
      <c r="H237" s="225">
        <f>SUM(H228:H236)</f>
        <v>3876000</v>
      </c>
      <c r="I237" s="183" t="e">
        <f>#REF!-H237</f>
        <v>#REF!</v>
      </c>
    </row>
    <row r="238" spans="1:9">
      <c r="A238" s="107"/>
      <c r="B238" s="107"/>
      <c r="C238" s="107"/>
      <c r="D238" s="107"/>
      <c r="E238" s="319"/>
    </row>
    <row r="239" spans="1:9" ht="18">
      <c r="A239" s="347" t="s">
        <v>28</v>
      </c>
      <c r="B239" s="347"/>
      <c r="C239" s="347" t="s">
        <v>29</v>
      </c>
      <c r="D239" s="347"/>
      <c r="E239" s="347"/>
      <c r="F239" s="1"/>
      <c r="G239" s="347" t="s">
        <v>30</v>
      </c>
      <c r="H239" s="347"/>
    </row>
    <row r="255" spans="1:9" ht="15.6">
      <c r="A255" s="6" t="s">
        <v>0</v>
      </c>
      <c r="B255" s="6"/>
    </row>
    <row r="256" spans="1:9" s="110" customFormat="1" ht="16.8" customHeight="1">
      <c r="A256" s="347" t="s">
        <v>236</v>
      </c>
      <c r="B256" s="347"/>
      <c r="C256" s="347"/>
      <c r="D256" s="347"/>
      <c r="E256" s="347"/>
      <c r="F256" s="347"/>
      <c r="G256" s="347"/>
      <c r="H256" s="347"/>
      <c r="I256" s="181">
        <f>1996200/15</f>
        <v>133080</v>
      </c>
    </row>
    <row r="257" spans="1:10" s="110" customFormat="1" ht="16.8" customHeight="1">
      <c r="A257" s="109"/>
      <c r="B257" s="348" t="s">
        <v>228</v>
      </c>
      <c r="C257" s="348"/>
      <c r="D257" s="348"/>
      <c r="E257" s="348"/>
      <c r="F257" s="348"/>
      <c r="G257" s="348"/>
      <c r="H257" s="348"/>
    </row>
    <row r="258" spans="1:10" ht="15" customHeight="1">
      <c r="A258" s="7" t="s">
        <v>15</v>
      </c>
      <c r="B258" s="8" t="s">
        <v>16</v>
      </c>
      <c r="C258" s="9" t="s">
        <v>17</v>
      </c>
      <c r="D258" s="10" t="s">
        <v>18</v>
      </c>
      <c r="E258" s="7" t="s">
        <v>19</v>
      </c>
      <c r="F258" s="11" t="s">
        <v>5</v>
      </c>
      <c r="G258" s="7" t="s">
        <v>20</v>
      </c>
      <c r="H258" s="7" t="s">
        <v>21</v>
      </c>
      <c r="J258" s="14" t="e">
        <f>#REF!*#REF!</f>
        <v>#REF!</v>
      </c>
    </row>
    <row r="259" spans="1:10" s="117" customFormat="1" ht="15" customHeight="1">
      <c r="A259" s="356" t="s">
        <v>230</v>
      </c>
      <c r="B259" s="98" t="s">
        <v>11</v>
      </c>
      <c r="C259" s="100">
        <f>E259/D259</f>
        <v>0.11982758620689656</v>
      </c>
      <c r="D259" s="12">
        <v>232</v>
      </c>
      <c r="E259" s="190">
        <v>27.8</v>
      </c>
      <c r="F259" s="12" t="s">
        <v>1</v>
      </c>
      <c r="G259" s="99">
        <v>21525</v>
      </c>
      <c r="H259" s="14">
        <f>G259*E259</f>
        <v>598395</v>
      </c>
      <c r="I259" s="116"/>
      <c r="J259" s="121" t="e">
        <f>#REF!*#REF!</f>
        <v>#REF!</v>
      </c>
    </row>
    <row r="260" spans="1:10" s="117" customFormat="1" ht="15" customHeight="1">
      <c r="A260" s="357"/>
      <c r="B260" s="17" t="s">
        <v>129</v>
      </c>
      <c r="C260" s="101">
        <f>E260/D260</f>
        <v>0.10948275862068965</v>
      </c>
      <c r="D260" s="17">
        <v>232</v>
      </c>
      <c r="E260" s="42">
        <v>25.4</v>
      </c>
      <c r="F260" s="17" t="s">
        <v>1</v>
      </c>
      <c r="G260" s="18">
        <v>86100</v>
      </c>
      <c r="H260" s="19">
        <f>G260*E260</f>
        <v>2186940</v>
      </c>
      <c r="I260" s="124">
        <f>232*17000</f>
        <v>3944000</v>
      </c>
      <c r="J260" s="121" t="e">
        <f>#REF!*#REF!</f>
        <v>#REF!</v>
      </c>
    </row>
    <row r="261" spans="1:10" s="117" customFormat="1" ht="19.2" customHeight="1">
      <c r="A261" s="358"/>
      <c r="B261" s="17" t="s">
        <v>130</v>
      </c>
      <c r="C261" s="101">
        <f t="shared" ref="C261:C264" si="48">E261/D261</f>
        <v>3.7499999999999999E-2</v>
      </c>
      <c r="D261" s="17">
        <v>232</v>
      </c>
      <c r="E261" s="42">
        <v>8.6999999999999993</v>
      </c>
      <c r="F261" s="17" t="s">
        <v>1</v>
      </c>
      <c r="G261" s="18">
        <v>67200</v>
      </c>
      <c r="H261" s="19">
        <f t="shared" ref="H261:H264" si="49">G261*E261</f>
        <v>584640</v>
      </c>
      <c r="I261" s="128">
        <f>I260-H268</f>
        <v>0</v>
      </c>
      <c r="J261" s="121" t="e">
        <f>#REF!*#REF!</f>
        <v>#REF!</v>
      </c>
    </row>
    <row r="262" spans="1:10" s="117" customFormat="1" ht="21.6" customHeight="1">
      <c r="A262" s="358"/>
      <c r="B262" s="17" t="s">
        <v>78</v>
      </c>
      <c r="C262" s="101">
        <f t="shared" si="48"/>
        <v>1.2931034482758621E-2</v>
      </c>
      <c r="D262" s="17">
        <v>232</v>
      </c>
      <c r="E262" s="287" t="s">
        <v>48</v>
      </c>
      <c r="F262" s="17" t="s">
        <v>1</v>
      </c>
      <c r="G262" s="18">
        <v>78750</v>
      </c>
      <c r="H262" s="19">
        <f t="shared" si="49"/>
        <v>236250</v>
      </c>
      <c r="J262" s="121">
        <f>184800+136500</f>
        <v>321300</v>
      </c>
    </row>
    <row r="263" spans="1:10" s="117" customFormat="1" ht="15" customHeight="1">
      <c r="A263" s="358"/>
      <c r="B263" s="17" t="s">
        <v>79</v>
      </c>
      <c r="C263" s="101">
        <f t="shared" si="48"/>
        <v>4.3534482758620686E-2</v>
      </c>
      <c r="D263" s="17">
        <v>232</v>
      </c>
      <c r="E263" s="287" t="s">
        <v>54</v>
      </c>
      <c r="F263" s="17" t="s">
        <v>1</v>
      </c>
      <c r="G263" s="18">
        <v>18900</v>
      </c>
      <c r="H263" s="19">
        <f t="shared" si="49"/>
        <v>190890</v>
      </c>
      <c r="I263" s="124">
        <f>233*17000</f>
        <v>3961000</v>
      </c>
      <c r="J263" s="121">
        <v>136716</v>
      </c>
    </row>
    <row r="264" spans="1:10" s="117" customFormat="1" ht="15" customHeight="1">
      <c r="A264" s="358"/>
      <c r="B264" s="17" t="s">
        <v>81</v>
      </c>
      <c r="C264" s="101">
        <f t="shared" si="48"/>
        <v>4.3103448275862074E-4</v>
      </c>
      <c r="D264" s="17">
        <v>232</v>
      </c>
      <c r="E264" s="287" t="s">
        <v>46</v>
      </c>
      <c r="F264" s="17" t="s">
        <v>1</v>
      </c>
      <c r="G264" s="18">
        <v>63000</v>
      </c>
      <c r="H264" s="19">
        <f t="shared" si="49"/>
        <v>6300</v>
      </c>
      <c r="I264" s="128">
        <f>H268-I263</f>
        <v>-17000</v>
      </c>
      <c r="J264" s="132"/>
    </row>
    <row r="265" spans="1:10" s="117" customFormat="1" ht="15" customHeight="1">
      <c r="A265" s="358"/>
      <c r="B265" s="17" t="s">
        <v>229</v>
      </c>
      <c r="C265" s="76"/>
      <c r="D265" s="17"/>
      <c r="E265" s="287" t="s">
        <v>46</v>
      </c>
      <c r="F265" s="68" t="s">
        <v>1</v>
      </c>
      <c r="G265" s="18">
        <v>47250</v>
      </c>
      <c r="H265" s="19">
        <f t="shared" ref="H265" si="50">E265*G265</f>
        <v>4725</v>
      </c>
      <c r="I265" s="128">
        <f>0.1*232</f>
        <v>23.200000000000003</v>
      </c>
      <c r="J265" s="132"/>
    </row>
    <row r="266" spans="1:10" s="117" customFormat="1" ht="15" customHeight="1">
      <c r="A266" s="358"/>
      <c r="B266" s="38" t="s">
        <v>12</v>
      </c>
      <c r="C266" s="38"/>
      <c r="D266" s="38"/>
      <c r="E266" s="163">
        <v>0.1</v>
      </c>
      <c r="F266" s="38" t="s">
        <v>1</v>
      </c>
      <c r="G266" s="120">
        <v>57750</v>
      </c>
      <c r="H266" s="121">
        <f t="shared" ref="H266" si="51">E266*G266</f>
        <v>5775</v>
      </c>
      <c r="J266" s="132"/>
    </row>
    <row r="267" spans="1:10" s="117" customFormat="1" ht="15" customHeight="1">
      <c r="A267" s="358"/>
      <c r="B267" s="125" t="s">
        <v>25</v>
      </c>
      <c r="C267" s="125"/>
      <c r="D267" s="125"/>
      <c r="E267" s="312"/>
      <c r="F267" s="127"/>
      <c r="G267" s="125"/>
      <c r="H267" s="278">
        <f>130426-341</f>
        <v>130085</v>
      </c>
      <c r="J267" s="132"/>
    </row>
    <row r="268" spans="1:10" s="148" customFormat="1" ht="22.2" customHeight="1">
      <c r="A268" s="359"/>
      <c r="B268" s="298"/>
      <c r="C268" s="298"/>
      <c r="D268" s="298"/>
      <c r="E268" s="320"/>
      <c r="F268" s="300"/>
      <c r="G268" s="298"/>
      <c r="H268" s="301">
        <f>SUM(H259:H267)</f>
        <v>3944000</v>
      </c>
      <c r="I268" s="147">
        <f>I263-H268</f>
        <v>17000</v>
      </c>
    </row>
    <row r="269" spans="1:10" s="117" customFormat="1" ht="15" customHeight="1">
      <c r="A269" s="349" t="s">
        <v>231</v>
      </c>
      <c r="B269" s="111" t="s">
        <v>11</v>
      </c>
      <c r="C269" s="112">
        <f>E269/D269</f>
        <v>0.11931330472103005</v>
      </c>
      <c r="D269" s="38">
        <v>233</v>
      </c>
      <c r="E269" s="184">
        <v>27.8</v>
      </c>
      <c r="F269" s="113" t="s">
        <v>1</v>
      </c>
      <c r="G269" s="114">
        <v>21525</v>
      </c>
      <c r="H269" s="115">
        <f>E269*G269</f>
        <v>598395</v>
      </c>
      <c r="I269" s="182">
        <f>H268-I260</f>
        <v>0</v>
      </c>
    </row>
    <row r="270" spans="1:10" s="117" customFormat="1" ht="15" customHeight="1">
      <c r="A270" s="350"/>
      <c r="B270" s="38" t="s">
        <v>42</v>
      </c>
      <c r="C270" s="38">
        <f>E270/D270</f>
        <v>5.8798283261802572E-2</v>
      </c>
      <c r="D270" s="38">
        <v>233</v>
      </c>
      <c r="E270" s="163">
        <v>13.7</v>
      </c>
      <c r="F270" s="38" t="s">
        <v>1</v>
      </c>
      <c r="G270" s="120">
        <v>169560</v>
      </c>
      <c r="H270" s="121">
        <f>E270*G270</f>
        <v>2322972</v>
      </c>
      <c r="I270" s="123">
        <f>232*17000</f>
        <v>3944000</v>
      </c>
    </row>
    <row r="271" spans="1:10" s="117" customFormat="1" ht="15" customHeight="1">
      <c r="A271" s="350"/>
      <c r="B271" s="38" t="s">
        <v>43</v>
      </c>
      <c r="C271" s="38">
        <f t="shared" ref="C271:C273" si="52">E271/D271</f>
        <v>0.5622317596566524</v>
      </c>
      <c r="D271" s="38">
        <v>233</v>
      </c>
      <c r="E271" s="163">
        <v>131</v>
      </c>
      <c r="F271" s="38" t="s">
        <v>1</v>
      </c>
      <c r="G271" s="120">
        <v>3456</v>
      </c>
      <c r="H271" s="121">
        <f t="shared" ref="H271:H276" si="53">E271*G271</f>
        <v>452736</v>
      </c>
    </row>
    <row r="272" spans="1:10" s="117" customFormat="1" ht="15" customHeight="1">
      <c r="A272" s="350"/>
      <c r="B272" s="38" t="s">
        <v>44</v>
      </c>
      <c r="C272" s="38">
        <f t="shared" si="52"/>
        <v>2.6609442060085836E-2</v>
      </c>
      <c r="D272" s="38">
        <v>233</v>
      </c>
      <c r="E272" s="163">
        <v>6.2</v>
      </c>
      <c r="F272" s="38" t="s">
        <v>1</v>
      </c>
      <c r="G272" s="120">
        <v>23100</v>
      </c>
      <c r="H272" s="121">
        <f t="shared" si="53"/>
        <v>143220</v>
      </c>
      <c r="I272" s="135">
        <f>I270-H278</f>
        <v>0</v>
      </c>
    </row>
    <row r="273" spans="1:9" s="117" customFormat="1" ht="15" customHeight="1">
      <c r="A273" s="350"/>
      <c r="B273" s="38" t="s">
        <v>153</v>
      </c>
      <c r="C273" s="142">
        <f t="shared" si="52"/>
        <v>4.2918454935622317E-3</v>
      </c>
      <c r="D273" s="38">
        <v>233</v>
      </c>
      <c r="E273" s="163">
        <v>1</v>
      </c>
      <c r="F273" s="38" t="s">
        <v>4</v>
      </c>
      <c r="G273" s="120">
        <v>141750</v>
      </c>
      <c r="H273" s="121">
        <f t="shared" si="53"/>
        <v>141750</v>
      </c>
    </row>
    <row r="274" spans="1:9" s="117" customFormat="1" ht="15" customHeight="1">
      <c r="A274" s="350"/>
      <c r="B274" s="38" t="s">
        <v>55</v>
      </c>
      <c r="C274" s="163"/>
      <c r="D274" s="38"/>
      <c r="E274" s="163">
        <v>0.1</v>
      </c>
      <c r="F274" s="38" t="s">
        <v>4</v>
      </c>
      <c r="G274" s="120">
        <v>36750</v>
      </c>
      <c r="H274" s="121">
        <f t="shared" si="53"/>
        <v>3675</v>
      </c>
    </row>
    <row r="275" spans="1:9" s="117" customFormat="1" ht="15" customHeight="1">
      <c r="A275" s="350"/>
      <c r="B275" s="162" t="s">
        <v>154</v>
      </c>
      <c r="C275" s="163"/>
      <c r="D275" s="166"/>
      <c r="E275" s="185">
        <v>7.7</v>
      </c>
      <c r="F275" s="38" t="s">
        <v>1</v>
      </c>
      <c r="G275" s="120">
        <v>18900</v>
      </c>
      <c r="H275" s="121">
        <f t="shared" si="53"/>
        <v>145530</v>
      </c>
    </row>
    <row r="276" spans="1:9" s="117" customFormat="1" ht="15" customHeight="1">
      <c r="A276" s="350"/>
      <c r="B276" s="38" t="s">
        <v>12</v>
      </c>
      <c r="C276" s="38"/>
      <c r="D276" s="38"/>
      <c r="E276" s="163">
        <v>0.1</v>
      </c>
      <c r="F276" s="38" t="s">
        <v>1</v>
      </c>
      <c r="G276" s="120">
        <v>57750</v>
      </c>
      <c r="H276" s="121">
        <f t="shared" si="53"/>
        <v>5775</v>
      </c>
    </row>
    <row r="277" spans="1:9" s="117" customFormat="1" ht="15" customHeight="1">
      <c r="A277" s="351"/>
      <c r="B277" s="125" t="s">
        <v>25</v>
      </c>
      <c r="C277" s="125"/>
      <c r="D277" s="125"/>
      <c r="E277" s="312"/>
      <c r="F277" s="127"/>
      <c r="G277" s="125"/>
      <c r="H277" s="278">
        <f>130426-479</f>
        <v>129947</v>
      </c>
      <c r="I277" s="117">
        <v>130426</v>
      </c>
    </row>
    <row r="278" spans="1:9" s="148" customFormat="1" ht="18.600000000000001" customHeight="1">
      <c r="A278" s="149"/>
      <c r="B278" s="150"/>
      <c r="C278" s="151"/>
      <c r="D278" s="151"/>
      <c r="E278" s="313"/>
      <c r="F278" s="153"/>
      <c r="G278" s="150"/>
      <c r="H278" s="154">
        <f>SUM(H269:H277)</f>
        <v>3944000</v>
      </c>
      <c r="I278" s="183">
        <f>I270-H278</f>
        <v>0</v>
      </c>
    </row>
    <row r="279" spans="1:9" s="232" customFormat="1" ht="15" customHeight="1">
      <c r="A279" s="241"/>
      <c r="B279" s="111" t="s">
        <v>22</v>
      </c>
      <c r="C279" s="264">
        <f>E279/D279</f>
        <v>0.11931330472103005</v>
      </c>
      <c r="D279" s="213">
        <v>233</v>
      </c>
      <c r="E279" s="187" t="s">
        <v>108</v>
      </c>
      <c r="F279" s="265" t="s">
        <v>1</v>
      </c>
      <c r="G279" s="266">
        <v>21525</v>
      </c>
      <c r="H279" s="267">
        <f>E279*G279</f>
        <v>598395</v>
      </c>
    </row>
    <row r="280" spans="1:9" s="232" customFormat="1" ht="15" customHeight="1">
      <c r="A280" s="360" t="s">
        <v>232</v>
      </c>
      <c r="B280" s="265" t="s">
        <v>184</v>
      </c>
      <c r="C280" s="268">
        <f t="shared" ref="C280:C282" si="54">E280/D280</f>
        <v>7.8969957081545056E-2</v>
      </c>
      <c r="D280" s="213">
        <v>233</v>
      </c>
      <c r="E280" s="187" t="s">
        <v>238</v>
      </c>
      <c r="F280" s="213" t="s">
        <v>1</v>
      </c>
      <c r="G280" s="266">
        <v>129150</v>
      </c>
      <c r="H280" s="271">
        <f>G280*E280</f>
        <v>2376360</v>
      </c>
    </row>
    <row r="281" spans="1:9" s="232" customFormat="1" ht="19.2" customHeight="1">
      <c r="A281" s="360"/>
      <c r="B281" s="38" t="s">
        <v>153</v>
      </c>
      <c r="C281" s="142">
        <f t="shared" si="54"/>
        <v>4.2918454935622317E-3</v>
      </c>
      <c r="D281" s="164">
        <v>233</v>
      </c>
      <c r="E281" s="163">
        <v>1</v>
      </c>
      <c r="F281" s="38" t="s">
        <v>4</v>
      </c>
      <c r="G281" s="120">
        <v>141750</v>
      </c>
      <c r="H281" s="121">
        <f t="shared" ref="H281" si="55">E281*G281</f>
        <v>141750</v>
      </c>
      <c r="I281" s="256">
        <f>232*17000</f>
        <v>3944000</v>
      </c>
    </row>
    <row r="282" spans="1:9" s="232" customFormat="1" ht="15" customHeight="1">
      <c r="A282" s="360"/>
      <c r="B282" s="213" t="s">
        <v>7</v>
      </c>
      <c r="C282" s="272">
        <f t="shared" si="54"/>
        <v>0.5622317596566524</v>
      </c>
      <c r="D282" s="213">
        <v>233</v>
      </c>
      <c r="E282" s="188" t="s">
        <v>185</v>
      </c>
      <c r="F282" s="213" t="s">
        <v>1</v>
      </c>
      <c r="G282" s="270">
        <v>3510</v>
      </c>
      <c r="H282" s="271">
        <f>E282*G282</f>
        <v>459810</v>
      </c>
    </row>
    <row r="283" spans="1:9" s="232" customFormat="1" ht="15" customHeight="1">
      <c r="A283" s="360"/>
      <c r="B283" s="213" t="s">
        <v>187</v>
      </c>
      <c r="C283" s="272"/>
      <c r="D283" s="213"/>
      <c r="E283" s="188" t="s">
        <v>189</v>
      </c>
      <c r="F283" s="213" t="s">
        <v>188</v>
      </c>
      <c r="G283" s="270">
        <v>37800</v>
      </c>
      <c r="H283" s="271">
        <f>E283*G283</f>
        <v>75600</v>
      </c>
    </row>
    <row r="284" spans="1:9" s="232" customFormat="1" ht="15" customHeight="1">
      <c r="A284" s="360"/>
      <c r="B284" s="213" t="s">
        <v>197</v>
      </c>
      <c r="C284" s="272"/>
      <c r="D284" s="213"/>
      <c r="E284" s="188" t="s">
        <v>26</v>
      </c>
      <c r="F284" s="213" t="s">
        <v>4</v>
      </c>
      <c r="G284" s="270">
        <v>44280</v>
      </c>
      <c r="H284" s="271">
        <f>E284*G284</f>
        <v>44280</v>
      </c>
    </row>
    <row r="285" spans="1:9" s="232" customFormat="1" ht="15" customHeight="1">
      <c r="A285" s="360"/>
      <c r="B285" s="213" t="s">
        <v>198</v>
      </c>
      <c r="C285" s="272"/>
      <c r="D285" s="213"/>
      <c r="E285" s="188" t="s">
        <v>227</v>
      </c>
      <c r="F285" s="213" t="s">
        <v>1</v>
      </c>
      <c r="G285" s="270">
        <v>24150</v>
      </c>
      <c r="H285" s="271">
        <f t="shared" ref="H285:H287" si="56">E285*G285</f>
        <v>125580</v>
      </c>
    </row>
    <row r="286" spans="1:9" s="232" customFormat="1" ht="15" customHeight="1">
      <c r="A286" s="360"/>
      <c r="B286" s="213" t="s">
        <v>41</v>
      </c>
      <c r="C286" s="268"/>
      <c r="D286" s="213"/>
      <c r="E286" s="188" t="s">
        <v>46</v>
      </c>
      <c r="F286" s="213" t="s">
        <v>4</v>
      </c>
      <c r="G286" s="120">
        <v>36750</v>
      </c>
      <c r="H286" s="121">
        <f t="shared" si="56"/>
        <v>3675</v>
      </c>
    </row>
    <row r="287" spans="1:9" s="232" customFormat="1" ht="15" customHeight="1">
      <c r="A287" s="360"/>
      <c r="B287" s="213" t="s">
        <v>12</v>
      </c>
      <c r="C287" s="216"/>
      <c r="D287" s="213"/>
      <c r="E287" s="318">
        <v>0.1</v>
      </c>
      <c r="F287" s="213" t="s">
        <v>1</v>
      </c>
      <c r="G287" s="120">
        <v>57750</v>
      </c>
      <c r="H287" s="121">
        <f t="shared" si="56"/>
        <v>5775</v>
      </c>
      <c r="I287" s="263">
        <f>233*17000</f>
        <v>3961000</v>
      </c>
    </row>
    <row r="288" spans="1:9" s="232" customFormat="1" ht="15" customHeight="1">
      <c r="A288" s="360"/>
      <c r="B288" s="275" t="s">
        <v>25</v>
      </c>
      <c r="C288" s="275"/>
      <c r="D288" s="275"/>
      <c r="E288" s="316"/>
      <c r="F288" s="277"/>
      <c r="G288" s="275"/>
      <c r="H288" s="278">
        <f>130426-651</f>
        <v>129775</v>
      </c>
    </row>
    <row r="289" spans="1:9" s="134" customFormat="1" ht="20.399999999999999" customHeight="1">
      <c r="A289" s="218"/>
      <c r="B289" s="20"/>
      <c r="C289" s="20"/>
      <c r="D289" s="20"/>
      <c r="E289" s="315"/>
      <c r="F289" s="21"/>
      <c r="G289" s="20"/>
      <c r="H289" s="5">
        <f>SUM(H279:H288)</f>
        <v>3961000</v>
      </c>
      <c r="I289" s="217">
        <f>H289-I287</f>
        <v>0</v>
      </c>
    </row>
    <row r="290" spans="1:9" s="134" customFormat="1" ht="20.399999999999999" customHeight="1">
      <c r="A290" s="353" t="s">
        <v>233</v>
      </c>
      <c r="B290" s="113" t="s">
        <v>22</v>
      </c>
      <c r="C290" s="140">
        <f>E290/D290</f>
        <v>0.11931330472103005</v>
      </c>
      <c r="D290" s="38">
        <v>233</v>
      </c>
      <c r="E290" s="186" t="s">
        <v>108</v>
      </c>
      <c r="F290" s="113" t="s">
        <v>1</v>
      </c>
      <c r="G290" s="141">
        <v>21525</v>
      </c>
      <c r="H290" s="115">
        <f>E290*G290</f>
        <v>598395</v>
      </c>
      <c r="I290" s="217"/>
    </row>
    <row r="291" spans="1:9" s="134" customFormat="1" ht="20.399999999999999" customHeight="1">
      <c r="A291" s="354"/>
      <c r="B291" s="38" t="s">
        <v>87</v>
      </c>
      <c r="C291" s="142">
        <f t="shared" ref="C291:C292" si="57">E291/D291</f>
        <v>6.9527896995708147E-2</v>
      </c>
      <c r="D291" s="38">
        <v>233</v>
      </c>
      <c r="E291" s="163">
        <v>16.2</v>
      </c>
      <c r="F291" s="38" t="s">
        <v>1</v>
      </c>
      <c r="G291" s="120">
        <v>140700</v>
      </c>
      <c r="H291" s="121">
        <f>E291*G291-1892</f>
        <v>2277448</v>
      </c>
      <c r="I291" s="217"/>
    </row>
    <row r="292" spans="1:9" s="134" customFormat="1" ht="20.399999999999999" customHeight="1">
      <c r="A292" s="354"/>
      <c r="B292" s="38" t="s">
        <v>130</v>
      </c>
      <c r="C292" s="144">
        <f t="shared" si="57"/>
        <v>3.1759656652360517E-2</v>
      </c>
      <c r="D292" s="38">
        <v>233</v>
      </c>
      <c r="E292" s="287" t="s">
        <v>139</v>
      </c>
      <c r="F292" s="38" t="s">
        <v>1</v>
      </c>
      <c r="G292" s="120">
        <v>67200</v>
      </c>
      <c r="H292" s="121">
        <f>E292*G292</f>
        <v>497280</v>
      </c>
      <c r="I292" s="217"/>
    </row>
    <row r="293" spans="1:9" s="134" customFormat="1" ht="20.399999999999999" customHeight="1">
      <c r="A293" s="354"/>
      <c r="B293" s="38" t="s">
        <v>78</v>
      </c>
      <c r="C293" s="144"/>
      <c r="D293" s="38">
        <v>233</v>
      </c>
      <c r="E293" s="309" t="s">
        <v>48</v>
      </c>
      <c r="F293" s="38" t="s">
        <v>1</v>
      </c>
      <c r="G293" s="120">
        <v>78750</v>
      </c>
      <c r="H293" s="121">
        <f t="shared" ref="H293:H297" si="58">E293*G293</f>
        <v>236250</v>
      </c>
      <c r="I293" s="217">
        <f>233*17000</f>
        <v>3961000</v>
      </c>
    </row>
    <row r="294" spans="1:9" s="134" customFormat="1" ht="20.399999999999999" customHeight="1">
      <c r="A294" s="354"/>
      <c r="B294" s="38" t="s">
        <v>79</v>
      </c>
      <c r="C294" s="144"/>
      <c r="D294" s="38">
        <v>233</v>
      </c>
      <c r="E294" s="309" t="s">
        <v>237</v>
      </c>
      <c r="F294" s="38" t="s">
        <v>4</v>
      </c>
      <c r="G294" s="120">
        <v>20478</v>
      </c>
      <c r="H294" s="121">
        <f t="shared" si="58"/>
        <v>204780</v>
      </c>
      <c r="I294" s="217"/>
    </row>
    <row r="295" spans="1:9" s="134" customFormat="1" ht="20.399999999999999" customHeight="1">
      <c r="A295" s="354"/>
      <c r="B295" s="38" t="s">
        <v>81</v>
      </c>
      <c r="C295" s="38"/>
      <c r="D295" s="38"/>
      <c r="E295" s="309" t="s">
        <v>46</v>
      </c>
      <c r="F295" s="38" t="s">
        <v>1</v>
      </c>
      <c r="G295" s="120">
        <v>63000</v>
      </c>
      <c r="H295" s="121">
        <f t="shared" si="58"/>
        <v>6300</v>
      </c>
      <c r="I295" s="217"/>
    </row>
    <row r="296" spans="1:9" s="134" customFormat="1" ht="20.399999999999999" customHeight="1">
      <c r="A296" s="354"/>
      <c r="B296" s="38" t="s">
        <v>66</v>
      </c>
      <c r="C296" s="146"/>
      <c r="D296" s="38"/>
      <c r="E296" s="309" t="s">
        <v>46</v>
      </c>
      <c r="F296" s="38" t="s">
        <v>1</v>
      </c>
      <c r="G296" s="120">
        <v>60900</v>
      </c>
      <c r="H296" s="121">
        <f t="shared" si="58"/>
        <v>6090</v>
      </c>
      <c r="I296" s="217">
        <f>H299-I293</f>
        <v>0</v>
      </c>
    </row>
    <row r="297" spans="1:9" s="134" customFormat="1" ht="20.399999999999999" customHeight="1">
      <c r="A297" s="354"/>
      <c r="B297" s="38" t="s">
        <v>82</v>
      </c>
      <c r="C297" s="125"/>
      <c r="D297" s="38"/>
      <c r="E297" s="309" t="s">
        <v>46</v>
      </c>
      <c r="F297" s="38" t="s">
        <v>1</v>
      </c>
      <c r="G297" s="120">
        <v>42000</v>
      </c>
      <c r="H297" s="121">
        <f t="shared" si="58"/>
        <v>4200</v>
      </c>
      <c r="I297" s="217"/>
    </row>
    <row r="298" spans="1:9" s="134" customFormat="1" ht="20.399999999999999" customHeight="1">
      <c r="A298" s="289"/>
      <c r="B298" s="275" t="s">
        <v>25</v>
      </c>
      <c r="C298" s="275"/>
      <c r="D298" s="275"/>
      <c r="E298" s="316"/>
      <c r="F298" s="277"/>
      <c r="G298" s="275"/>
      <c r="H298" s="278">
        <f>130426-169</f>
        <v>130257</v>
      </c>
      <c r="I298" s="217"/>
    </row>
    <row r="299" spans="1:9" s="134" customFormat="1" ht="20.399999999999999" customHeight="1">
      <c r="A299" s="218"/>
      <c r="B299" s="294"/>
      <c r="C299" s="220"/>
      <c r="D299" s="294"/>
      <c r="E299" s="317"/>
      <c r="F299" s="294"/>
      <c r="G299" s="296"/>
      <c r="H299" s="297">
        <f>SUM(H290:H298)</f>
        <v>3961000</v>
      </c>
      <c r="I299" s="217">
        <f>H299-I293</f>
        <v>0</v>
      </c>
    </row>
    <row r="300" spans="1:9" s="134" customFormat="1" ht="15" customHeight="1">
      <c r="A300" s="346" t="s">
        <v>234</v>
      </c>
      <c r="B300" s="113" t="s">
        <v>22</v>
      </c>
      <c r="C300" s="140">
        <f>E300/D300</f>
        <v>0.11931330472103005</v>
      </c>
      <c r="D300" s="159">
        <v>233</v>
      </c>
      <c r="E300" s="187" t="s">
        <v>108</v>
      </c>
      <c r="F300" s="160" t="s">
        <v>1</v>
      </c>
      <c r="G300" s="141">
        <v>21525</v>
      </c>
      <c r="H300" s="161">
        <f>E300*G300</f>
        <v>598395</v>
      </c>
      <c r="I300" s="284"/>
    </row>
    <row r="301" spans="1:9" s="134" customFormat="1" ht="15" customHeight="1">
      <c r="A301" s="346"/>
      <c r="B301" s="213" t="s">
        <v>6</v>
      </c>
      <c r="C301" s="142">
        <f>E301/D301</f>
        <v>5.3218884120171672E-2</v>
      </c>
      <c r="D301" s="164">
        <v>233</v>
      </c>
      <c r="E301" s="188" t="s">
        <v>235</v>
      </c>
      <c r="F301" s="38" t="s">
        <v>1</v>
      </c>
      <c r="G301" s="165">
        <v>178200</v>
      </c>
      <c r="H301" s="121">
        <f t="shared" ref="H301:H306" si="59">E301*G301</f>
        <v>2209680</v>
      </c>
    </row>
    <row r="302" spans="1:9" s="134" customFormat="1" ht="15" customHeight="1">
      <c r="A302" s="346"/>
      <c r="B302" s="213" t="s">
        <v>34</v>
      </c>
      <c r="C302" s="142">
        <f t="shared" ref="C302:C304" si="60">E302/D302</f>
        <v>3.4334763948497854E-2</v>
      </c>
      <c r="D302" s="164">
        <v>233</v>
      </c>
      <c r="E302" s="188" t="s">
        <v>23</v>
      </c>
      <c r="F302" s="38" t="s">
        <v>1</v>
      </c>
      <c r="G302" s="165">
        <v>89250</v>
      </c>
      <c r="H302" s="121">
        <f t="shared" si="59"/>
        <v>714000</v>
      </c>
    </row>
    <row r="303" spans="1:9" s="134" customFormat="1" ht="15" customHeight="1">
      <c r="A303" s="346"/>
      <c r="B303" s="213" t="s">
        <v>36</v>
      </c>
      <c r="C303" s="142">
        <f t="shared" si="60"/>
        <v>4.2918454935622317E-3</v>
      </c>
      <c r="D303" s="164">
        <v>233</v>
      </c>
      <c r="E303" s="163">
        <v>1</v>
      </c>
      <c r="F303" s="38" t="s">
        <v>4</v>
      </c>
      <c r="G303" s="120">
        <v>137550</v>
      </c>
      <c r="H303" s="121">
        <f t="shared" si="59"/>
        <v>137550</v>
      </c>
    </row>
    <row r="304" spans="1:9" s="134" customFormat="1" ht="15" customHeight="1">
      <c r="A304" s="279"/>
      <c r="B304" s="162" t="s">
        <v>154</v>
      </c>
      <c r="C304" s="163">
        <f t="shared" si="60"/>
        <v>4.2918454935622321E-4</v>
      </c>
      <c r="D304" s="164">
        <v>233</v>
      </c>
      <c r="E304" s="163">
        <v>0.1</v>
      </c>
      <c r="F304" s="38" t="s">
        <v>4</v>
      </c>
      <c r="G304" s="120">
        <v>36750</v>
      </c>
      <c r="H304" s="121">
        <f t="shared" si="59"/>
        <v>3675</v>
      </c>
    </row>
    <row r="305" spans="1:9" s="134" customFormat="1" ht="15" customHeight="1">
      <c r="A305" s="279"/>
      <c r="B305" s="162" t="s">
        <v>149</v>
      </c>
      <c r="C305" s="163"/>
      <c r="D305" s="166"/>
      <c r="E305" s="185">
        <v>6.7</v>
      </c>
      <c r="F305" s="38" t="s">
        <v>1</v>
      </c>
      <c r="G305" s="120">
        <v>24150</v>
      </c>
      <c r="H305" s="121">
        <f t="shared" si="59"/>
        <v>161805</v>
      </c>
    </row>
    <row r="306" spans="1:9" s="134" customFormat="1" ht="15" customHeight="1">
      <c r="A306" s="279"/>
      <c r="B306" s="38" t="s">
        <v>66</v>
      </c>
      <c r="C306" s="146"/>
      <c r="D306" s="38"/>
      <c r="E306" s="309" t="s">
        <v>46</v>
      </c>
      <c r="F306" s="38" t="s">
        <v>1</v>
      </c>
      <c r="G306" s="120">
        <v>57750</v>
      </c>
      <c r="H306" s="121">
        <f t="shared" si="59"/>
        <v>5775</v>
      </c>
    </row>
    <row r="307" spans="1:9" s="134" customFormat="1" ht="15" customHeight="1">
      <c r="A307" s="279"/>
      <c r="B307" s="167" t="s">
        <v>25</v>
      </c>
      <c r="C307" s="146"/>
      <c r="D307" s="168"/>
      <c r="E307" s="169"/>
      <c r="F307" s="164" t="s">
        <v>1</v>
      </c>
      <c r="G307" s="120"/>
      <c r="H307" s="133">
        <f>130426-306</f>
        <v>130120</v>
      </c>
      <c r="I307" s="304">
        <f>233*17000</f>
        <v>3961000</v>
      </c>
    </row>
    <row r="308" spans="1:9" s="155" customFormat="1" ht="19.8" customHeight="1">
      <c r="A308" s="222"/>
      <c r="B308" s="175"/>
      <c r="C308" s="175"/>
      <c r="D308" s="175"/>
      <c r="E308" s="189"/>
      <c r="F308" s="224"/>
      <c r="G308" s="175"/>
      <c r="H308" s="225">
        <f>SUM(H300:H307)</f>
        <v>3961000</v>
      </c>
      <c r="I308" s="183">
        <f>H308-I307</f>
        <v>0</v>
      </c>
    </row>
    <row r="309" spans="1:9">
      <c r="A309" s="107"/>
      <c r="B309" s="107"/>
      <c r="C309" s="107"/>
      <c r="D309" s="107"/>
      <c r="E309" s="319"/>
    </row>
    <row r="310" spans="1:9" ht="18">
      <c r="A310" s="347" t="s">
        <v>28</v>
      </c>
      <c r="B310" s="347"/>
      <c r="C310" s="347" t="s">
        <v>29</v>
      </c>
      <c r="D310" s="347"/>
      <c r="E310" s="347"/>
      <c r="F310" s="1"/>
      <c r="G310" s="347" t="s">
        <v>30</v>
      </c>
      <c r="H310" s="347"/>
    </row>
    <row r="311" spans="1:9" ht="18">
      <c r="A311" s="33"/>
      <c r="B311" s="33"/>
      <c r="C311" s="33"/>
      <c r="D311" s="33"/>
      <c r="E311" s="33"/>
      <c r="F311" s="1"/>
      <c r="G311" s="33"/>
      <c r="H311" s="33"/>
    </row>
    <row r="312" spans="1:9" ht="18">
      <c r="A312" s="33"/>
      <c r="B312" s="33"/>
      <c r="C312" s="33"/>
      <c r="D312" s="33"/>
      <c r="E312" s="33"/>
      <c r="F312" s="1"/>
      <c r="G312" s="33"/>
      <c r="H312" s="33"/>
    </row>
    <row r="313" spans="1:9" ht="18">
      <c r="A313" s="33"/>
      <c r="B313" s="33"/>
      <c r="C313" s="33"/>
      <c r="D313" s="33"/>
      <c r="E313" s="33"/>
      <c r="F313" s="1"/>
      <c r="G313" s="33"/>
      <c r="H313" s="33"/>
    </row>
    <row r="314" spans="1:9" ht="18">
      <c r="A314" s="33"/>
      <c r="B314" s="33"/>
      <c r="C314" s="33"/>
      <c r="D314" s="33"/>
      <c r="E314" s="33"/>
      <c r="F314" s="1"/>
      <c r="G314" s="33"/>
      <c r="H314" s="33"/>
    </row>
    <row r="315" spans="1:9" ht="18">
      <c r="A315" s="33"/>
      <c r="B315" s="33"/>
      <c r="C315" s="33"/>
      <c r="D315" s="33"/>
      <c r="E315" s="33"/>
      <c r="F315" s="1"/>
      <c r="G315" s="33"/>
      <c r="H315" s="33"/>
    </row>
    <row r="316" spans="1:9" ht="18">
      <c r="A316" s="33"/>
      <c r="B316" s="33"/>
      <c r="C316" s="33"/>
      <c r="D316" s="33"/>
      <c r="E316" s="33"/>
      <c r="F316" s="1"/>
      <c r="G316" s="33"/>
      <c r="H316" s="33"/>
    </row>
    <row r="317" spans="1:9" ht="18">
      <c r="A317" s="33"/>
      <c r="B317" s="33"/>
      <c r="C317" s="33"/>
      <c r="D317" s="33"/>
      <c r="E317" s="33"/>
      <c r="F317" s="1"/>
      <c r="G317" s="33"/>
      <c r="H317" s="33"/>
    </row>
    <row r="318" spans="1:9" ht="18">
      <c r="A318" s="33"/>
      <c r="B318" s="33"/>
      <c r="C318" s="33"/>
      <c r="D318" s="33"/>
      <c r="E318" s="33"/>
      <c r="F318" s="1"/>
      <c r="G318" s="33"/>
      <c r="H318" s="33"/>
    </row>
    <row r="319" spans="1:9" ht="18">
      <c r="A319" s="33"/>
      <c r="B319" s="33"/>
      <c r="C319" s="33"/>
      <c r="D319" s="33"/>
      <c r="E319" s="33"/>
      <c r="F319" s="1"/>
      <c r="G319" s="33"/>
      <c r="H319" s="33"/>
    </row>
    <row r="320" spans="1:9" ht="18">
      <c r="A320" s="33"/>
      <c r="B320" s="33"/>
      <c r="C320" s="33"/>
      <c r="D320" s="33"/>
      <c r="E320" s="33"/>
      <c r="F320" s="1"/>
      <c r="G320" s="33"/>
      <c r="H320" s="33"/>
    </row>
    <row r="321" spans="1:8" ht="18">
      <c r="A321" s="33"/>
      <c r="B321" s="33"/>
      <c r="C321" s="33"/>
      <c r="D321" s="33"/>
      <c r="E321" s="33"/>
      <c r="F321" s="1"/>
      <c r="G321" s="33"/>
      <c r="H321" s="33"/>
    </row>
    <row r="322" spans="1:8" ht="18">
      <c r="A322" s="33"/>
      <c r="B322" s="33"/>
      <c r="C322" s="33"/>
      <c r="D322" s="33"/>
      <c r="E322" s="33"/>
      <c r="F322" s="1"/>
      <c r="G322" s="33"/>
      <c r="H322" s="33"/>
    </row>
    <row r="323" spans="1:8" ht="18">
      <c r="A323" s="33"/>
      <c r="B323" s="33"/>
      <c r="C323" s="33"/>
      <c r="D323" s="33"/>
      <c r="E323" s="33"/>
      <c r="F323" s="1"/>
      <c r="G323" s="33"/>
      <c r="H323" s="33"/>
    </row>
    <row r="324" spans="1:8" ht="18">
      <c r="A324" s="33"/>
      <c r="B324" s="33"/>
      <c r="C324" s="33"/>
      <c r="D324" s="33"/>
      <c r="E324" s="33"/>
      <c r="F324" s="1"/>
      <c r="G324" s="33"/>
      <c r="H324" s="33"/>
    </row>
    <row r="325" spans="1:8" ht="18">
      <c r="A325" s="33"/>
      <c r="B325" s="33"/>
      <c r="C325" s="33"/>
      <c r="D325" s="33"/>
      <c r="E325" s="33"/>
      <c r="F325" s="1"/>
      <c r="G325" s="33"/>
      <c r="H325" s="33"/>
    </row>
    <row r="326" spans="1:8" ht="18">
      <c r="A326" s="33"/>
      <c r="B326" s="33"/>
      <c r="C326" s="33"/>
      <c r="D326" s="33"/>
      <c r="E326" s="33"/>
      <c r="F326" s="1"/>
      <c r="G326" s="33"/>
      <c r="H326" s="33"/>
    </row>
    <row r="327" spans="1:8" ht="18">
      <c r="A327" s="33"/>
      <c r="B327" s="33"/>
      <c r="C327" s="33"/>
      <c r="D327" s="33"/>
      <c r="E327" s="33"/>
      <c r="F327" s="1"/>
      <c r="G327" s="33"/>
      <c r="H327" s="33"/>
    </row>
    <row r="328" spans="1:8" ht="18">
      <c r="A328" s="33"/>
      <c r="B328" s="33"/>
      <c r="C328" s="33"/>
      <c r="D328" s="33"/>
      <c r="E328" s="33"/>
      <c r="F328" s="1"/>
      <c r="G328" s="33"/>
      <c r="H328" s="33"/>
    </row>
    <row r="329" spans="1:8" ht="18">
      <c r="A329" s="33"/>
      <c r="B329" s="33"/>
      <c r="C329" s="33"/>
      <c r="D329" s="33"/>
      <c r="E329" s="33"/>
      <c r="F329" s="1"/>
      <c r="G329" s="33"/>
      <c r="H329" s="33"/>
    </row>
    <row r="330" spans="1:8" ht="18">
      <c r="A330" s="33"/>
      <c r="B330" s="33"/>
      <c r="C330" s="33"/>
      <c r="D330" s="33"/>
      <c r="E330" s="33"/>
      <c r="F330" s="1"/>
      <c r="G330" s="33"/>
      <c r="H330" s="33"/>
    </row>
    <row r="331" spans="1:8" ht="18">
      <c r="A331" s="33"/>
      <c r="B331" s="33"/>
      <c r="C331" s="33"/>
      <c r="D331" s="33"/>
      <c r="E331" s="33"/>
      <c r="F331" s="1"/>
      <c r="G331" s="33"/>
      <c r="H331" s="33"/>
    </row>
    <row r="332" spans="1:8" ht="18">
      <c r="A332" s="33"/>
      <c r="B332" s="33"/>
      <c r="C332" s="33"/>
      <c r="D332" s="33"/>
      <c r="E332" s="33"/>
      <c r="F332" s="1"/>
      <c r="G332" s="33"/>
      <c r="H332" s="33"/>
    </row>
    <row r="333" spans="1:8" ht="18">
      <c r="A333" s="33"/>
      <c r="B333" s="33"/>
      <c r="C333" s="33"/>
      <c r="D333" s="33"/>
      <c r="E333" s="33"/>
      <c r="F333" s="1"/>
      <c r="G333" s="33"/>
      <c r="H333" s="33"/>
    </row>
    <row r="334" spans="1:8" ht="18">
      <c r="A334" s="33"/>
      <c r="B334" s="33"/>
      <c r="C334" s="33"/>
      <c r="D334" s="33"/>
      <c r="E334" s="33"/>
      <c r="F334" s="1"/>
      <c r="G334" s="33"/>
      <c r="H334" s="33"/>
    </row>
    <row r="335" spans="1:8" ht="18">
      <c r="A335" s="33"/>
      <c r="B335" s="33"/>
      <c r="C335" s="33"/>
      <c r="D335" s="33"/>
      <c r="E335" s="33"/>
      <c r="F335" s="1"/>
      <c r="G335" s="33"/>
      <c r="H335" s="33"/>
    </row>
    <row r="336" spans="1:8" ht="18">
      <c r="A336" s="33"/>
      <c r="B336" s="33"/>
      <c r="C336" s="33"/>
      <c r="D336" s="33"/>
      <c r="E336" s="33"/>
      <c r="F336" s="1"/>
      <c r="G336" s="33"/>
      <c r="H336" s="33"/>
    </row>
    <row r="337" spans="1:10" ht="18">
      <c r="A337" s="33"/>
      <c r="B337" s="33"/>
      <c r="C337" s="33"/>
      <c r="D337" s="33"/>
      <c r="E337" s="33"/>
      <c r="F337" s="1"/>
      <c r="G337" s="33"/>
      <c r="H337" s="33"/>
    </row>
    <row r="345" spans="1:10" ht="15.6">
      <c r="A345" s="6" t="s">
        <v>0</v>
      </c>
      <c r="B345" s="6"/>
    </row>
    <row r="346" spans="1:10" s="110" customFormat="1" ht="16.8" customHeight="1">
      <c r="A346" s="347" t="s">
        <v>176</v>
      </c>
      <c r="B346" s="347"/>
      <c r="C346" s="347"/>
      <c r="D346" s="347"/>
      <c r="E346" s="347"/>
      <c r="F346" s="347"/>
      <c r="G346" s="347"/>
      <c r="H346" s="347"/>
      <c r="I346" s="181">
        <f>1996200/15</f>
        <v>133080</v>
      </c>
    </row>
    <row r="347" spans="1:10" s="110" customFormat="1" ht="16.8" customHeight="1">
      <c r="A347" s="109"/>
      <c r="B347" s="348" t="s">
        <v>221</v>
      </c>
      <c r="C347" s="348"/>
      <c r="D347" s="348"/>
      <c r="E347" s="348"/>
      <c r="F347" s="348"/>
      <c r="G347" s="348"/>
      <c r="H347" s="348"/>
    </row>
    <row r="348" spans="1:10" ht="15" customHeight="1">
      <c r="A348" s="7" t="s">
        <v>15</v>
      </c>
      <c r="B348" s="8" t="s">
        <v>16</v>
      </c>
      <c r="C348" s="9" t="s">
        <v>17</v>
      </c>
      <c r="D348" s="10" t="s">
        <v>18</v>
      </c>
      <c r="E348" s="7" t="s">
        <v>19</v>
      </c>
      <c r="F348" s="11" t="s">
        <v>5</v>
      </c>
      <c r="G348" s="7" t="s">
        <v>20</v>
      </c>
      <c r="H348" s="7" t="s">
        <v>21</v>
      </c>
      <c r="J348" s="14" t="e">
        <f>#REF!*#REF!</f>
        <v>#REF!</v>
      </c>
    </row>
    <row r="349" spans="1:10" s="117" customFormat="1" ht="15" customHeight="1">
      <c r="A349" s="356" t="s">
        <v>222</v>
      </c>
      <c r="B349" s="111" t="s">
        <v>11</v>
      </c>
      <c r="C349" s="112">
        <f>E349/D349</f>
        <v>0.11974248927038626</v>
      </c>
      <c r="D349" s="38">
        <v>233</v>
      </c>
      <c r="E349" s="184">
        <v>27.9</v>
      </c>
      <c r="F349" s="113" t="s">
        <v>1</v>
      </c>
      <c r="G349" s="114">
        <v>21525</v>
      </c>
      <c r="H349" s="115">
        <f>E349*G349</f>
        <v>600547.5</v>
      </c>
      <c r="I349" s="116"/>
      <c r="J349" s="121" t="e">
        <f>#REF!*#REF!</f>
        <v>#REF!</v>
      </c>
    </row>
    <row r="350" spans="1:10" s="117" customFormat="1" ht="15" customHeight="1">
      <c r="A350" s="357"/>
      <c r="B350" s="38" t="s">
        <v>42</v>
      </c>
      <c r="C350" s="38">
        <f>E350/D350</f>
        <v>5.9227467811158799E-2</v>
      </c>
      <c r="D350" s="38">
        <v>233</v>
      </c>
      <c r="E350" s="163">
        <v>13.8</v>
      </c>
      <c r="F350" s="38" t="s">
        <v>1</v>
      </c>
      <c r="G350" s="120">
        <v>169560</v>
      </c>
      <c r="H350" s="121">
        <f>E350*G350</f>
        <v>2339928</v>
      </c>
      <c r="I350" s="124">
        <f>233*17000</f>
        <v>3961000</v>
      </c>
      <c r="J350" s="121" t="e">
        <f>#REF!*#REF!</f>
        <v>#REF!</v>
      </c>
    </row>
    <row r="351" spans="1:10" s="117" customFormat="1" ht="15" customHeight="1">
      <c r="A351" s="358"/>
      <c r="B351" s="38" t="s">
        <v>43</v>
      </c>
      <c r="C351" s="38">
        <f t="shared" ref="C351:C353" si="61">E351/D351</f>
        <v>0.5622317596566524</v>
      </c>
      <c r="D351" s="38">
        <v>233</v>
      </c>
      <c r="E351" s="163">
        <v>131</v>
      </c>
      <c r="F351" s="38" t="s">
        <v>1</v>
      </c>
      <c r="G351" s="120">
        <v>3456</v>
      </c>
      <c r="H351" s="121">
        <f t="shared" ref="H351:H356" si="62">E351*G351</f>
        <v>452736</v>
      </c>
      <c r="I351" s="128">
        <f>I350-H358</f>
        <v>0.5</v>
      </c>
      <c r="J351" s="121" t="e">
        <f>#REF!*#REF!</f>
        <v>#REF!</v>
      </c>
    </row>
    <row r="352" spans="1:10" s="117" customFormat="1" ht="15" customHeight="1">
      <c r="A352" s="358"/>
      <c r="B352" s="38" t="s">
        <v>44</v>
      </c>
      <c r="C352" s="38">
        <f t="shared" si="61"/>
        <v>2.6180257510729613E-2</v>
      </c>
      <c r="D352" s="38">
        <v>233</v>
      </c>
      <c r="E352" s="163">
        <v>6.1</v>
      </c>
      <c r="F352" s="38" t="s">
        <v>1</v>
      </c>
      <c r="G352" s="120">
        <v>23100</v>
      </c>
      <c r="H352" s="121">
        <f t="shared" si="62"/>
        <v>140910</v>
      </c>
      <c r="J352" s="121">
        <f>184800+136500</f>
        <v>321300</v>
      </c>
    </row>
    <row r="353" spans="1:10" s="117" customFormat="1" ht="15" customHeight="1">
      <c r="A353" s="358"/>
      <c r="B353" s="38" t="s">
        <v>153</v>
      </c>
      <c r="C353" s="142">
        <f t="shared" si="61"/>
        <v>4.2918454935622317E-3</v>
      </c>
      <c r="D353" s="38">
        <v>233</v>
      </c>
      <c r="E353" s="163">
        <v>1</v>
      </c>
      <c r="F353" s="38" t="s">
        <v>4</v>
      </c>
      <c r="G353" s="120">
        <v>141750</v>
      </c>
      <c r="H353" s="121">
        <f t="shared" si="62"/>
        <v>141750</v>
      </c>
      <c r="I353" s="124">
        <f>229*17000</f>
        <v>3893000</v>
      </c>
      <c r="J353" s="121">
        <v>136716</v>
      </c>
    </row>
    <row r="354" spans="1:10" s="117" customFormat="1" ht="15" customHeight="1">
      <c r="A354" s="358"/>
      <c r="B354" s="38" t="s">
        <v>55</v>
      </c>
      <c r="C354" s="163"/>
      <c r="D354" s="38"/>
      <c r="E354" s="163">
        <v>0.1</v>
      </c>
      <c r="F354" s="38" t="s">
        <v>4</v>
      </c>
      <c r="G354" s="120">
        <v>36750</v>
      </c>
      <c r="H354" s="121">
        <f t="shared" si="62"/>
        <v>3675</v>
      </c>
      <c r="I354" s="128">
        <f>H358-I353</f>
        <v>67999.5</v>
      </c>
      <c r="J354" s="132"/>
    </row>
    <row r="355" spans="1:10" s="117" customFormat="1" ht="15" customHeight="1">
      <c r="A355" s="358"/>
      <c r="B355" s="162" t="s">
        <v>154</v>
      </c>
      <c r="C355" s="163"/>
      <c r="D355" s="166"/>
      <c r="E355" s="185">
        <v>7.7</v>
      </c>
      <c r="F355" s="38" t="s">
        <v>1</v>
      </c>
      <c r="G355" s="120">
        <v>18900</v>
      </c>
      <c r="H355" s="121">
        <f t="shared" si="62"/>
        <v>145530</v>
      </c>
      <c r="I355" s="128"/>
      <c r="J355" s="132"/>
    </row>
    <row r="356" spans="1:10" s="117" customFormat="1" ht="15" customHeight="1">
      <c r="A356" s="358"/>
      <c r="B356" s="38" t="s">
        <v>12</v>
      </c>
      <c r="C356" s="38"/>
      <c r="D356" s="38"/>
      <c r="E356" s="163">
        <v>0.1</v>
      </c>
      <c r="F356" s="38" t="s">
        <v>1</v>
      </c>
      <c r="G356" s="120">
        <v>57750</v>
      </c>
      <c r="H356" s="121">
        <f t="shared" si="62"/>
        <v>5775</v>
      </c>
      <c r="J356" s="132"/>
    </row>
    <row r="357" spans="1:10" s="117" customFormat="1" ht="15" customHeight="1">
      <c r="A357" s="358"/>
      <c r="B357" s="125" t="s">
        <v>25</v>
      </c>
      <c r="C357" s="125"/>
      <c r="D357" s="125"/>
      <c r="E357" s="312"/>
      <c r="F357" s="127"/>
      <c r="G357" s="125"/>
      <c r="H357" s="278">
        <f>130426-278</f>
        <v>130148</v>
      </c>
      <c r="J357" s="132"/>
    </row>
    <row r="358" spans="1:10" s="148" customFormat="1" ht="22.2" customHeight="1">
      <c r="A358" s="359"/>
      <c r="B358" s="298"/>
      <c r="C358" s="298"/>
      <c r="D358" s="298"/>
      <c r="E358" s="320"/>
      <c r="F358" s="300"/>
      <c r="G358" s="298"/>
      <c r="H358" s="301">
        <f>SUM(H349:H357)</f>
        <v>3960999.5</v>
      </c>
      <c r="I358" s="147">
        <f>H358-I350</f>
        <v>-0.5</v>
      </c>
    </row>
    <row r="359" spans="1:10" s="117" customFormat="1" ht="15" customHeight="1">
      <c r="A359" s="349" t="s">
        <v>223</v>
      </c>
      <c r="B359" s="113" t="s">
        <v>22</v>
      </c>
      <c r="C359" s="140">
        <f>E359/D359</f>
        <v>0.11982758620689656</v>
      </c>
      <c r="D359" s="159">
        <v>232</v>
      </c>
      <c r="E359" s="187" t="s">
        <v>108</v>
      </c>
      <c r="F359" s="160" t="s">
        <v>1</v>
      </c>
      <c r="G359" s="141">
        <v>21525</v>
      </c>
      <c r="H359" s="161">
        <f>E359*G359</f>
        <v>598395</v>
      </c>
      <c r="I359" s="182">
        <f>H358-I350</f>
        <v>-0.5</v>
      </c>
    </row>
    <row r="360" spans="1:10" s="117" customFormat="1" ht="15" customHeight="1">
      <c r="A360" s="350"/>
      <c r="B360" s="162" t="s">
        <v>52</v>
      </c>
      <c r="C360" s="142">
        <f>E360/D360</f>
        <v>5.3017241379310347E-2</v>
      </c>
      <c r="D360" s="164">
        <v>232</v>
      </c>
      <c r="E360" s="188" t="s">
        <v>204</v>
      </c>
      <c r="F360" s="38" t="s">
        <v>1</v>
      </c>
      <c r="G360" s="165">
        <v>178200</v>
      </c>
      <c r="H360" s="121">
        <f t="shared" ref="H360:H365" si="63">E360*G360</f>
        <v>2191860</v>
      </c>
      <c r="I360" s="123">
        <f>232*17000</f>
        <v>3944000</v>
      </c>
    </row>
    <row r="361" spans="1:10" s="117" customFormat="1" ht="15" customHeight="1">
      <c r="A361" s="350"/>
      <c r="B361" s="162" t="s">
        <v>53</v>
      </c>
      <c r="C361" s="142">
        <f t="shared" ref="C361:C363" si="64">E361/D361</f>
        <v>3.4482758620689655E-2</v>
      </c>
      <c r="D361" s="164">
        <v>232</v>
      </c>
      <c r="E361" s="188" t="s">
        <v>23</v>
      </c>
      <c r="F361" s="38" t="s">
        <v>1</v>
      </c>
      <c r="G361" s="165">
        <v>89250</v>
      </c>
      <c r="H361" s="121">
        <f t="shared" si="63"/>
        <v>714000</v>
      </c>
    </row>
    <row r="362" spans="1:10" s="117" customFormat="1" ht="15" customHeight="1">
      <c r="A362" s="350"/>
      <c r="B362" s="38" t="s">
        <v>153</v>
      </c>
      <c r="C362" s="142">
        <f t="shared" si="64"/>
        <v>4.3103448275862068E-3</v>
      </c>
      <c r="D362" s="164">
        <v>232</v>
      </c>
      <c r="E362" s="163">
        <v>1</v>
      </c>
      <c r="F362" s="38" t="s">
        <v>4</v>
      </c>
      <c r="G362" s="120">
        <v>137550</v>
      </c>
      <c r="H362" s="121">
        <f t="shared" si="63"/>
        <v>137550</v>
      </c>
      <c r="I362" s="135">
        <f>I360-H367</f>
        <v>0</v>
      </c>
    </row>
    <row r="363" spans="1:10" s="117" customFormat="1" ht="15" customHeight="1">
      <c r="A363" s="350"/>
      <c r="B363" s="38" t="s">
        <v>55</v>
      </c>
      <c r="C363" s="163">
        <f t="shared" si="64"/>
        <v>4.3103448275862074E-4</v>
      </c>
      <c r="D363" s="164">
        <v>232</v>
      </c>
      <c r="E363" s="163">
        <v>0.1</v>
      </c>
      <c r="F363" s="38" t="s">
        <v>4</v>
      </c>
      <c r="G363" s="120">
        <v>36750</v>
      </c>
      <c r="H363" s="121">
        <f t="shared" si="63"/>
        <v>3675</v>
      </c>
    </row>
    <row r="364" spans="1:10" s="117" customFormat="1" ht="15" customHeight="1">
      <c r="A364" s="350"/>
      <c r="B364" s="162" t="s">
        <v>149</v>
      </c>
      <c r="C364" s="163"/>
      <c r="D364" s="166"/>
      <c r="E364" s="185">
        <v>6.7</v>
      </c>
      <c r="F364" s="38" t="s">
        <v>1</v>
      </c>
      <c r="G364" s="120">
        <v>24150</v>
      </c>
      <c r="H364" s="121">
        <f t="shared" si="63"/>
        <v>161805</v>
      </c>
    </row>
    <row r="365" spans="1:10" s="117" customFormat="1" ht="15" customHeight="1">
      <c r="A365" s="350"/>
      <c r="B365" s="38" t="s">
        <v>66</v>
      </c>
      <c r="C365" s="146"/>
      <c r="D365" s="38"/>
      <c r="E365" s="309" t="s">
        <v>46</v>
      </c>
      <c r="F365" s="38" t="s">
        <v>1</v>
      </c>
      <c r="G365" s="120">
        <v>57750</v>
      </c>
      <c r="H365" s="121">
        <f t="shared" si="63"/>
        <v>5775</v>
      </c>
    </row>
    <row r="366" spans="1:10" s="117" customFormat="1" ht="15" customHeight="1">
      <c r="A366" s="351"/>
      <c r="B366" s="167" t="s">
        <v>25</v>
      </c>
      <c r="C366" s="146"/>
      <c r="D366" s="168"/>
      <c r="E366" s="169"/>
      <c r="F366" s="164" t="s">
        <v>1</v>
      </c>
      <c r="G366" s="120"/>
      <c r="H366" s="133">
        <f>130426+514</f>
        <v>130940</v>
      </c>
      <c r="I366" s="117">
        <v>130426</v>
      </c>
    </row>
    <row r="367" spans="1:10" s="148" customFormat="1" ht="18.600000000000001" customHeight="1">
      <c r="A367" s="149"/>
      <c r="B367" s="150"/>
      <c r="C367" s="151"/>
      <c r="D367" s="151"/>
      <c r="E367" s="313"/>
      <c r="F367" s="153"/>
      <c r="G367" s="150"/>
      <c r="H367" s="154">
        <f>SUM(H359:H366)</f>
        <v>3944000</v>
      </c>
      <c r="I367" s="183">
        <f>I360-H367</f>
        <v>0</v>
      </c>
    </row>
    <row r="368" spans="1:10" s="232" customFormat="1" ht="15" customHeight="1">
      <c r="A368" s="241"/>
      <c r="B368" s="12" t="s">
        <v>22</v>
      </c>
      <c r="C368" s="142">
        <f t="shared" ref="C368:C370" si="65">E368/D368</f>
        <v>1.2636363636363637</v>
      </c>
      <c r="D368" s="17">
        <v>22</v>
      </c>
      <c r="E368" s="286" t="s">
        <v>108</v>
      </c>
      <c r="F368" s="12" t="s">
        <v>1</v>
      </c>
      <c r="G368" s="13">
        <v>21525</v>
      </c>
      <c r="H368" s="14">
        <f>E368*G368</f>
        <v>598395</v>
      </c>
    </row>
    <row r="369" spans="1:9" s="232" customFormat="1" ht="15" customHeight="1">
      <c r="A369" s="360" t="s">
        <v>224</v>
      </c>
      <c r="B369" s="38" t="s">
        <v>87</v>
      </c>
      <c r="C369" s="142">
        <f t="shared" si="65"/>
        <v>7.2413793103448282E-2</v>
      </c>
      <c r="D369" s="38">
        <v>232</v>
      </c>
      <c r="E369" s="42">
        <v>16.8</v>
      </c>
      <c r="F369" s="38" t="s">
        <v>1</v>
      </c>
      <c r="G369" s="120">
        <v>140700</v>
      </c>
      <c r="H369" s="121">
        <f>E369*G369-1892</f>
        <v>2361868</v>
      </c>
    </row>
    <row r="370" spans="1:9" s="232" customFormat="1" ht="19.2" customHeight="1">
      <c r="A370" s="360"/>
      <c r="B370" s="38" t="s">
        <v>36</v>
      </c>
      <c r="C370" s="144">
        <f t="shared" si="65"/>
        <v>3.017241379310345E-2</v>
      </c>
      <c r="D370" s="38">
        <v>232</v>
      </c>
      <c r="E370" s="287" t="s">
        <v>131</v>
      </c>
      <c r="F370" s="38" t="s">
        <v>1</v>
      </c>
      <c r="G370" s="120">
        <v>67200</v>
      </c>
      <c r="H370" s="121">
        <f>E370*G370</f>
        <v>470400</v>
      </c>
      <c r="I370" s="256">
        <f>232*17000</f>
        <v>3944000</v>
      </c>
    </row>
    <row r="371" spans="1:9" s="232" customFormat="1" ht="15" customHeight="1">
      <c r="A371" s="360"/>
      <c r="B371" s="17" t="s">
        <v>44</v>
      </c>
      <c r="C371" s="17"/>
      <c r="D371" s="17">
        <v>232</v>
      </c>
      <c r="E371" s="192">
        <v>2.2000000000000002</v>
      </c>
      <c r="F371" s="17" t="s">
        <v>1</v>
      </c>
      <c r="G371" s="19">
        <v>21000</v>
      </c>
      <c r="H371" s="19">
        <f>E371*G371</f>
        <v>46200.000000000007</v>
      </c>
    </row>
    <row r="372" spans="1:9" s="232" customFormat="1" ht="15" customHeight="1">
      <c r="A372" s="360"/>
      <c r="B372" s="17" t="s">
        <v>45</v>
      </c>
      <c r="C372" s="17"/>
      <c r="D372" s="17">
        <v>232</v>
      </c>
      <c r="E372" s="192">
        <v>1</v>
      </c>
      <c r="F372" s="17" t="s">
        <v>1</v>
      </c>
      <c r="G372" s="19">
        <v>164850</v>
      </c>
      <c r="H372" s="19">
        <f t="shared" ref="H372:H376" si="66">E372*G372</f>
        <v>164850</v>
      </c>
    </row>
    <row r="373" spans="1:9" s="232" customFormat="1" ht="15" customHeight="1">
      <c r="A373" s="360"/>
      <c r="B373" s="213" t="s">
        <v>187</v>
      </c>
      <c r="C373" s="272"/>
      <c r="D373" s="213"/>
      <c r="E373" s="188" t="s">
        <v>189</v>
      </c>
      <c r="F373" s="213" t="s">
        <v>188</v>
      </c>
      <c r="G373" s="270">
        <v>37800</v>
      </c>
      <c r="H373" s="271">
        <f>E373*G373</f>
        <v>75600</v>
      </c>
    </row>
    <row r="374" spans="1:9" s="232" customFormat="1" ht="15" customHeight="1">
      <c r="A374" s="360"/>
      <c r="B374" s="17" t="s">
        <v>14</v>
      </c>
      <c r="C374" s="17"/>
      <c r="D374" s="17"/>
      <c r="E374" s="302">
        <v>4.0999999999999996</v>
      </c>
      <c r="F374" s="17" t="s">
        <v>1</v>
      </c>
      <c r="G374" s="18">
        <v>21000</v>
      </c>
      <c r="H374" s="19">
        <f t="shared" si="66"/>
        <v>86099.999999999985</v>
      </c>
    </row>
    <row r="375" spans="1:9" s="232" customFormat="1" ht="15" customHeight="1">
      <c r="A375" s="360"/>
      <c r="B375" s="17" t="s">
        <v>12</v>
      </c>
      <c r="C375" s="17"/>
      <c r="D375" s="17"/>
      <c r="E375" s="287" t="s">
        <v>46</v>
      </c>
      <c r="F375" s="17" t="s">
        <v>1</v>
      </c>
      <c r="G375" s="120">
        <v>57750</v>
      </c>
      <c r="H375" s="121">
        <f t="shared" si="66"/>
        <v>5775</v>
      </c>
      <c r="I375" s="263">
        <f>230*17000</f>
        <v>3910000</v>
      </c>
    </row>
    <row r="376" spans="1:9" s="232" customFormat="1" ht="15" customHeight="1">
      <c r="A376" s="360"/>
      <c r="B376" s="20" t="s">
        <v>41</v>
      </c>
      <c r="C376" s="35"/>
      <c r="D376" s="17"/>
      <c r="E376" s="288" t="s">
        <v>46</v>
      </c>
      <c r="F376" s="17" t="s">
        <v>1</v>
      </c>
      <c r="G376" s="120">
        <v>36750</v>
      </c>
      <c r="H376" s="121">
        <f t="shared" si="66"/>
        <v>3675</v>
      </c>
    </row>
    <row r="377" spans="1:9" s="232" customFormat="1" ht="15" customHeight="1">
      <c r="A377" s="249"/>
      <c r="B377" s="20" t="s">
        <v>25</v>
      </c>
      <c r="C377" s="20"/>
      <c r="D377" s="20"/>
      <c r="E377" s="315"/>
      <c r="F377" s="21"/>
      <c r="G377" s="20"/>
      <c r="H377" s="285">
        <f>130426+711</f>
        <v>131137</v>
      </c>
    </row>
    <row r="378" spans="1:9" s="134" customFormat="1" ht="20.399999999999999" customHeight="1">
      <c r="A378" s="218"/>
      <c r="B378" s="20"/>
      <c r="C378" s="20"/>
      <c r="D378" s="20"/>
      <c r="E378" s="315"/>
      <c r="F378" s="21"/>
      <c r="G378" s="20"/>
      <c r="H378" s="5">
        <f>SUM(H368:H377)</f>
        <v>3944000</v>
      </c>
      <c r="I378" s="217">
        <f>H378-I370</f>
        <v>0</v>
      </c>
    </row>
    <row r="379" spans="1:9" s="134" customFormat="1" ht="20.399999999999999" customHeight="1">
      <c r="A379" s="353" t="s">
        <v>225</v>
      </c>
      <c r="B379" s="111" t="s">
        <v>22</v>
      </c>
      <c r="C379" s="264">
        <f>E379/D379</f>
        <v>0.11982758620689656</v>
      </c>
      <c r="D379" s="213">
        <v>232</v>
      </c>
      <c r="E379" s="187" t="s">
        <v>108</v>
      </c>
      <c r="F379" s="265" t="s">
        <v>1</v>
      </c>
      <c r="G379" s="266">
        <v>21525</v>
      </c>
      <c r="H379" s="267">
        <f>E379*G379</f>
        <v>598395</v>
      </c>
      <c r="I379" s="217"/>
    </row>
    <row r="380" spans="1:9" s="134" customFormat="1" ht="20.399999999999999" customHeight="1">
      <c r="A380" s="354"/>
      <c r="B380" s="265" t="s">
        <v>184</v>
      </c>
      <c r="C380" s="268">
        <f t="shared" ref="C380:C382" si="67">E380/D380</f>
        <v>7.8879310344827591E-2</v>
      </c>
      <c r="D380" s="213">
        <v>232</v>
      </c>
      <c r="E380" s="187" t="s">
        <v>212</v>
      </c>
      <c r="F380" s="213" t="s">
        <v>1</v>
      </c>
      <c r="G380" s="266">
        <v>129150</v>
      </c>
      <c r="H380" s="271">
        <f>G380*E380</f>
        <v>2363445</v>
      </c>
      <c r="I380" s="217"/>
    </row>
    <row r="381" spans="1:9" s="134" customFormat="1" ht="20.399999999999999" customHeight="1">
      <c r="A381" s="354"/>
      <c r="B381" s="38" t="s">
        <v>153</v>
      </c>
      <c r="C381" s="142">
        <f t="shared" si="67"/>
        <v>4.3103448275862068E-3</v>
      </c>
      <c r="D381" s="164">
        <v>232</v>
      </c>
      <c r="E381" s="163">
        <v>1</v>
      </c>
      <c r="F381" s="38" t="s">
        <v>4</v>
      </c>
      <c r="G381" s="120">
        <v>137550</v>
      </c>
      <c r="H381" s="121">
        <f t="shared" ref="H381" si="68">E381*G381</f>
        <v>137550</v>
      </c>
      <c r="I381" s="217"/>
    </row>
    <row r="382" spans="1:9" s="134" customFormat="1" ht="20.399999999999999" customHeight="1">
      <c r="A382" s="354"/>
      <c r="B382" s="213" t="s">
        <v>7</v>
      </c>
      <c r="C382" s="272">
        <f t="shared" si="67"/>
        <v>0.56465517241379315</v>
      </c>
      <c r="D382" s="213">
        <v>232</v>
      </c>
      <c r="E382" s="188" t="s">
        <v>185</v>
      </c>
      <c r="F382" s="213" t="s">
        <v>1</v>
      </c>
      <c r="G382" s="270">
        <v>3510</v>
      </c>
      <c r="H382" s="271">
        <f>E382*G382</f>
        <v>459810</v>
      </c>
      <c r="I382" s="217">
        <f>232*17000</f>
        <v>3944000</v>
      </c>
    </row>
    <row r="383" spans="1:9" s="134" customFormat="1" ht="20.399999999999999" customHeight="1">
      <c r="A383" s="354"/>
      <c r="B383" s="213" t="s">
        <v>187</v>
      </c>
      <c r="C383" s="272"/>
      <c r="D383" s="213"/>
      <c r="E383" s="188" t="s">
        <v>189</v>
      </c>
      <c r="F383" s="213" t="s">
        <v>188</v>
      </c>
      <c r="G383" s="270">
        <v>37800</v>
      </c>
      <c r="H383" s="271">
        <f>E383*G383</f>
        <v>75600</v>
      </c>
      <c r="I383" s="217"/>
    </row>
    <row r="384" spans="1:9" s="134" customFormat="1" ht="20.399999999999999" customHeight="1">
      <c r="A384" s="354"/>
      <c r="B384" s="213" t="s">
        <v>197</v>
      </c>
      <c r="C384" s="272"/>
      <c r="D384" s="213"/>
      <c r="E384" s="188" t="s">
        <v>26</v>
      </c>
      <c r="F384" s="213" t="s">
        <v>4</v>
      </c>
      <c r="G384" s="270">
        <v>44280</v>
      </c>
      <c r="H384" s="271">
        <f>E384*G384</f>
        <v>44280</v>
      </c>
      <c r="I384" s="217"/>
    </row>
    <row r="385" spans="1:9" s="134" customFormat="1" ht="20.399999999999999" customHeight="1">
      <c r="A385" s="354"/>
      <c r="B385" s="213" t="s">
        <v>198</v>
      </c>
      <c r="C385" s="272"/>
      <c r="D385" s="213"/>
      <c r="E385" s="188" t="s">
        <v>227</v>
      </c>
      <c r="F385" s="213" t="s">
        <v>1</v>
      </c>
      <c r="G385" s="270">
        <v>24150</v>
      </c>
      <c r="H385" s="271">
        <f t="shared" ref="H385:H387" si="69">E385*G385</f>
        <v>125580</v>
      </c>
      <c r="I385" s="217">
        <f>H389-I382</f>
        <v>0</v>
      </c>
    </row>
    <row r="386" spans="1:9" s="134" customFormat="1" ht="20.399999999999999" customHeight="1">
      <c r="A386" s="354"/>
      <c r="B386" s="213" t="s">
        <v>41</v>
      </c>
      <c r="C386" s="268"/>
      <c r="D386" s="213"/>
      <c r="E386" s="188" t="s">
        <v>46</v>
      </c>
      <c r="F386" s="213" t="s">
        <v>4</v>
      </c>
      <c r="G386" s="120">
        <v>36750</v>
      </c>
      <c r="H386" s="121">
        <f t="shared" si="69"/>
        <v>3675</v>
      </c>
      <c r="I386" s="217"/>
    </row>
    <row r="387" spans="1:9" s="134" customFormat="1" ht="20.399999999999999" customHeight="1">
      <c r="A387" s="289"/>
      <c r="B387" s="213" t="s">
        <v>12</v>
      </c>
      <c r="C387" s="216"/>
      <c r="D387" s="213"/>
      <c r="E387" s="318">
        <v>0.1</v>
      </c>
      <c r="F387" s="213" t="s">
        <v>1</v>
      </c>
      <c r="G387" s="120">
        <v>57750</v>
      </c>
      <c r="H387" s="121">
        <f t="shared" si="69"/>
        <v>5775</v>
      </c>
      <c r="I387" s="217"/>
    </row>
    <row r="388" spans="1:9" s="134" customFormat="1" ht="20.399999999999999" customHeight="1">
      <c r="A388" s="289"/>
      <c r="B388" s="275" t="s">
        <v>25</v>
      </c>
      <c r="C388" s="275"/>
      <c r="D388" s="275"/>
      <c r="E388" s="316"/>
      <c r="F388" s="277"/>
      <c r="G388" s="275"/>
      <c r="H388" s="278">
        <f>130426-536</f>
        <v>129890</v>
      </c>
      <c r="I388" s="217"/>
    </row>
    <row r="389" spans="1:9" s="134" customFormat="1" ht="20.399999999999999" customHeight="1">
      <c r="A389" s="218"/>
      <c r="B389" s="294"/>
      <c r="C389" s="220"/>
      <c r="D389" s="294"/>
      <c r="E389" s="317"/>
      <c r="F389" s="294"/>
      <c r="G389" s="296"/>
      <c r="H389" s="297">
        <f>SUM(H379:H388)</f>
        <v>3944000</v>
      </c>
      <c r="I389" s="217">
        <f>I382-H389</f>
        <v>0</v>
      </c>
    </row>
    <row r="390" spans="1:9" s="134" customFormat="1" ht="15" customHeight="1">
      <c r="A390" s="346" t="s">
        <v>226</v>
      </c>
      <c r="B390" s="113" t="s">
        <v>22</v>
      </c>
      <c r="C390" s="140">
        <f>E390/D390</f>
        <v>0.11982758620689656</v>
      </c>
      <c r="D390" s="38">
        <v>232</v>
      </c>
      <c r="E390" s="186" t="s">
        <v>108</v>
      </c>
      <c r="F390" s="113" t="s">
        <v>1</v>
      </c>
      <c r="G390" s="141">
        <v>21525</v>
      </c>
      <c r="H390" s="115">
        <f>E390*G390</f>
        <v>598395</v>
      </c>
      <c r="I390" s="284"/>
    </row>
    <row r="391" spans="1:9" s="134" customFormat="1" ht="15" customHeight="1">
      <c r="A391" s="346"/>
      <c r="B391" s="38" t="s">
        <v>87</v>
      </c>
      <c r="C391" s="142">
        <f t="shared" ref="C391:C392" si="70">E391/D391</f>
        <v>7.1120689655172417E-2</v>
      </c>
      <c r="D391" s="38">
        <v>232</v>
      </c>
      <c r="E391" s="163">
        <v>16.5</v>
      </c>
      <c r="F391" s="38" t="s">
        <v>1</v>
      </c>
      <c r="G391" s="120">
        <v>140700</v>
      </c>
      <c r="H391" s="121">
        <f>E391*G391-1892</f>
        <v>2319658</v>
      </c>
    </row>
    <row r="392" spans="1:9" s="134" customFormat="1" ht="15" customHeight="1">
      <c r="A392" s="346"/>
      <c r="B392" s="38" t="s">
        <v>43</v>
      </c>
      <c r="C392" s="144">
        <f t="shared" si="70"/>
        <v>0.56465517241379315</v>
      </c>
      <c r="D392" s="38">
        <v>232</v>
      </c>
      <c r="E392" s="309" t="s">
        <v>185</v>
      </c>
      <c r="F392" s="38" t="s">
        <v>1</v>
      </c>
      <c r="G392" s="120">
        <v>3456</v>
      </c>
      <c r="H392" s="121">
        <f>E392*G392</f>
        <v>452736</v>
      </c>
    </row>
    <row r="393" spans="1:9" s="134" customFormat="1" ht="15" customHeight="1">
      <c r="A393" s="346"/>
      <c r="B393" s="38" t="s">
        <v>78</v>
      </c>
      <c r="C393" s="144"/>
      <c r="D393" s="38">
        <v>232</v>
      </c>
      <c r="E393" s="309" t="s">
        <v>48</v>
      </c>
      <c r="F393" s="38" t="s">
        <v>1</v>
      </c>
      <c r="G393" s="120">
        <v>78750</v>
      </c>
      <c r="H393" s="121">
        <f t="shared" ref="H393:H397" si="71">E393*G393</f>
        <v>236250</v>
      </c>
    </row>
    <row r="394" spans="1:9" s="134" customFormat="1" ht="15" customHeight="1">
      <c r="A394" s="279"/>
      <c r="B394" s="38" t="s">
        <v>79</v>
      </c>
      <c r="C394" s="144"/>
      <c r="D394" s="38">
        <v>232</v>
      </c>
      <c r="E394" s="309" t="s">
        <v>54</v>
      </c>
      <c r="F394" s="38" t="s">
        <v>4</v>
      </c>
      <c r="G394" s="120">
        <v>18900</v>
      </c>
      <c r="H394" s="121">
        <f t="shared" si="71"/>
        <v>190890</v>
      </c>
    </row>
    <row r="395" spans="1:9" s="134" customFormat="1" ht="15" customHeight="1">
      <c r="A395" s="279"/>
      <c r="B395" s="38" t="s">
        <v>81</v>
      </c>
      <c r="C395" s="38"/>
      <c r="D395" s="38">
        <v>232</v>
      </c>
      <c r="E395" s="309" t="s">
        <v>46</v>
      </c>
      <c r="F395" s="38" t="s">
        <v>1</v>
      </c>
      <c r="G395" s="120">
        <v>63000</v>
      </c>
      <c r="H395" s="121">
        <f t="shared" si="71"/>
        <v>6300</v>
      </c>
    </row>
    <row r="396" spans="1:9" s="134" customFormat="1" ht="15" customHeight="1">
      <c r="A396" s="279"/>
      <c r="B396" s="38" t="s">
        <v>66</v>
      </c>
      <c r="C396" s="146"/>
      <c r="D396" s="38">
        <v>232</v>
      </c>
      <c r="E396" s="309" t="s">
        <v>46</v>
      </c>
      <c r="F396" s="38" t="s">
        <v>1</v>
      </c>
      <c r="G396" s="120">
        <v>57750</v>
      </c>
      <c r="H396" s="121">
        <f t="shared" si="71"/>
        <v>5775</v>
      </c>
    </row>
    <row r="397" spans="1:9" s="134" customFormat="1" ht="15" customHeight="1">
      <c r="A397" s="279"/>
      <c r="B397" s="213" t="s">
        <v>41</v>
      </c>
      <c r="C397" s="268"/>
      <c r="D397" s="213"/>
      <c r="E397" s="188" t="s">
        <v>46</v>
      </c>
      <c r="F397" s="213" t="s">
        <v>4</v>
      </c>
      <c r="G397" s="120">
        <v>36750</v>
      </c>
      <c r="H397" s="121">
        <f t="shared" si="71"/>
        <v>3675</v>
      </c>
    </row>
    <row r="398" spans="1:9" s="134" customFormat="1" ht="15" customHeight="1">
      <c r="A398" s="279"/>
      <c r="B398" s="125" t="s">
        <v>25</v>
      </c>
      <c r="C398" s="125"/>
      <c r="D398" s="38">
        <v>232</v>
      </c>
      <c r="E398" s="312"/>
      <c r="F398" s="127"/>
      <c r="G398" s="125"/>
      <c r="H398" s="133">
        <f>130426-105</f>
        <v>130321</v>
      </c>
    </row>
    <row r="399" spans="1:9" s="155" customFormat="1" ht="19.8" customHeight="1">
      <c r="A399" s="222"/>
      <c r="B399" s="175"/>
      <c r="C399" s="175"/>
      <c r="D399" s="175"/>
      <c r="E399" s="189"/>
      <c r="F399" s="224"/>
      <c r="G399" s="175"/>
      <c r="H399" s="225">
        <f>SUM(H390:H398)</f>
        <v>3944000</v>
      </c>
      <c r="I399" s="183">
        <f>H399-I382</f>
        <v>0</v>
      </c>
    </row>
    <row r="400" spans="1:9">
      <c r="A400" s="107"/>
      <c r="B400" s="107"/>
      <c r="C400" s="107"/>
      <c r="D400" s="107"/>
      <c r="E400" s="319"/>
    </row>
    <row r="401" spans="1:8" ht="18">
      <c r="A401" s="347" t="s">
        <v>28</v>
      </c>
      <c r="B401" s="347"/>
      <c r="C401" s="347" t="s">
        <v>29</v>
      </c>
      <c r="D401" s="347"/>
      <c r="E401" s="347"/>
      <c r="F401" s="1"/>
      <c r="G401" s="347" t="s">
        <v>30</v>
      </c>
      <c r="H401" s="347"/>
    </row>
    <row r="402" spans="1:8" ht="18">
      <c r="A402" s="33"/>
      <c r="B402" s="33"/>
      <c r="C402" s="33"/>
      <c r="D402" s="33"/>
      <c r="E402" s="33"/>
      <c r="F402" s="1"/>
      <c r="G402" s="33"/>
      <c r="H402" s="33"/>
    </row>
    <row r="403" spans="1:8" ht="18">
      <c r="A403" s="33"/>
      <c r="B403" s="33"/>
      <c r="C403" s="33"/>
      <c r="D403" s="33"/>
      <c r="E403" s="33"/>
      <c r="F403" s="1"/>
      <c r="G403" s="33"/>
      <c r="H403" s="33"/>
    </row>
    <row r="404" spans="1:8" ht="18">
      <c r="A404" s="33"/>
      <c r="B404" s="33"/>
      <c r="C404" s="33"/>
      <c r="D404" s="33"/>
      <c r="E404" s="33"/>
      <c r="F404" s="1"/>
      <c r="G404" s="33"/>
      <c r="H404" s="33"/>
    </row>
    <row r="405" spans="1:8" ht="18">
      <c r="A405" s="33"/>
      <c r="B405" s="33"/>
      <c r="C405" s="33"/>
      <c r="D405" s="33"/>
      <c r="E405" s="33"/>
      <c r="F405" s="1"/>
      <c r="G405" s="33"/>
      <c r="H405" s="33"/>
    </row>
    <row r="406" spans="1:8" ht="18">
      <c r="A406" s="33"/>
      <c r="B406" s="33"/>
      <c r="C406" s="33"/>
      <c r="D406" s="33"/>
      <c r="E406" s="33"/>
      <c r="F406" s="1"/>
      <c r="G406" s="33"/>
      <c r="H406" s="33"/>
    </row>
    <row r="407" spans="1:8" ht="18">
      <c r="A407" s="33"/>
      <c r="B407" s="33"/>
      <c r="C407" s="33"/>
      <c r="D407" s="33"/>
      <c r="E407" s="33"/>
      <c r="F407" s="1"/>
      <c r="G407" s="33"/>
      <c r="H407" s="33"/>
    </row>
    <row r="408" spans="1:8" ht="18">
      <c r="A408" s="33"/>
      <c r="B408" s="33"/>
      <c r="C408" s="33"/>
      <c r="D408" s="33"/>
      <c r="E408" s="33"/>
      <c r="F408" s="1"/>
      <c r="G408" s="33"/>
      <c r="H408" s="33"/>
    </row>
    <row r="409" spans="1:8" ht="18">
      <c r="A409" s="33"/>
      <c r="B409" s="33"/>
      <c r="C409" s="33"/>
      <c r="D409" s="33"/>
      <c r="E409" s="33"/>
      <c r="F409" s="1"/>
      <c r="G409" s="33"/>
      <c r="H409" s="33"/>
    </row>
    <row r="410" spans="1:8" ht="18">
      <c r="A410" s="33"/>
      <c r="B410" s="33"/>
      <c r="C410" s="33"/>
      <c r="D410" s="33"/>
      <c r="E410" s="33"/>
      <c r="F410" s="1"/>
      <c r="G410" s="33"/>
      <c r="H410" s="33"/>
    </row>
    <row r="411" spans="1:8" ht="18">
      <c r="A411" s="33"/>
      <c r="B411" s="33"/>
      <c r="C411" s="33"/>
      <c r="D411" s="33"/>
      <c r="E411" s="33"/>
      <c r="F411" s="1"/>
      <c r="G411" s="33"/>
      <c r="H411" s="33"/>
    </row>
    <row r="412" spans="1:8" ht="18">
      <c r="A412" s="33"/>
      <c r="B412" s="33"/>
      <c r="C412" s="33"/>
      <c r="D412" s="33"/>
      <c r="E412" s="33"/>
      <c r="F412" s="1"/>
      <c r="G412" s="33"/>
      <c r="H412" s="33"/>
    </row>
    <row r="413" spans="1:8" ht="18">
      <c r="A413" s="33"/>
      <c r="B413" s="33"/>
      <c r="C413" s="33"/>
      <c r="D413" s="33"/>
      <c r="E413" s="33"/>
      <c r="F413" s="1"/>
      <c r="G413" s="33"/>
      <c r="H413" s="33"/>
    </row>
    <row r="414" spans="1:8" ht="18">
      <c r="A414" s="33"/>
      <c r="B414" s="33"/>
      <c r="C414" s="33"/>
      <c r="D414" s="33"/>
      <c r="E414" s="33"/>
      <c r="F414" s="1"/>
      <c r="G414" s="33"/>
      <c r="H414" s="33"/>
    </row>
    <row r="415" spans="1:8" ht="18">
      <c r="A415" s="33"/>
      <c r="B415" s="33"/>
      <c r="C415" s="33"/>
      <c r="D415" s="33"/>
      <c r="E415" s="33"/>
      <c r="F415" s="1"/>
      <c r="G415" s="33"/>
      <c r="H415" s="33"/>
    </row>
    <row r="416" spans="1:8" ht="18">
      <c r="A416" s="33"/>
      <c r="B416" s="33"/>
      <c r="C416" s="33"/>
      <c r="D416" s="33"/>
      <c r="E416" s="33"/>
      <c r="F416" s="1"/>
      <c r="G416" s="33"/>
      <c r="H416" s="33"/>
    </row>
    <row r="417" spans="1:8" ht="18">
      <c r="A417" s="33"/>
      <c r="B417" s="33"/>
      <c r="C417" s="33"/>
      <c r="D417" s="33"/>
      <c r="E417" s="33"/>
      <c r="F417" s="1"/>
      <c r="G417" s="33"/>
      <c r="H417" s="33"/>
    </row>
    <row r="418" spans="1:8" ht="18">
      <c r="A418" s="33"/>
      <c r="B418" s="33"/>
      <c r="C418" s="33"/>
      <c r="D418" s="33"/>
      <c r="E418" s="33"/>
      <c r="F418" s="1"/>
      <c r="G418" s="33"/>
      <c r="H418" s="33"/>
    </row>
    <row r="419" spans="1:8" ht="18">
      <c r="A419" s="33"/>
      <c r="B419" s="33"/>
      <c r="C419" s="33"/>
      <c r="D419" s="33"/>
      <c r="E419" s="33"/>
      <c r="F419" s="1"/>
      <c r="G419" s="33"/>
      <c r="H419" s="33"/>
    </row>
    <row r="420" spans="1:8" ht="18">
      <c r="A420" s="33"/>
      <c r="B420" s="33"/>
      <c r="C420" s="33"/>
      <c r="D420" s="33"/>
      <c r="E420" s="33"/>
      <c r="F420" s="1"/>
      <c r="G420" s="33"/>
      <c r="H420" s="33"/>
    </row>
    <row r="421" spans="1:8" ht="18">
      <c r="A421" s="33"/>
      <c r="B421" s="33"/>
      <c r="C421" s="33"/>
      <c r="D421" s="33"/>
      <c r="E421" s="33"/>
      <c r="F421" s="1"/>
      <c r="G421" s="33"/>
      <c r="H421" s="33"/>
    </row>
    <row r="422" spans="1:8" ht="18">
      <c r="A422" s="33"/>
      <c r="B422" s="33"/>
      <c r="C422" s="33"/>
      <c r="D422" s="33"/>
      <c r="E422" s="33"/>
      <c r="F422" s="1"/>
      <c r="G422" s="33"/>
      <c r="H422" s="33"/>
    </row>
    <row r="423" spans="1:8" ht="18">
      <c r="A423" s="33"/>
      <c r="B423" s="33"/>
      <c r="C423" s="33"/>
      <c r="D423" s="33"/>
      <c r="E423" s="33"/>
      <c r="F423" s="1"/>
      <c r="G423" s="33"/>
      <c r="H423" s="33"/>
    </row>
    <row r="424" spans="1:8" ht="18">
      <c r="A424" s="33"/>
      <c r="B424" s="33"/>
      <c r="C424" s="33"/>
      <c r="D424" s="33"/>
      <c r="E424" s="33"/>
      <c r="F424" s="1"/>
      <c r="G424" s="33"/>
      <c r="H424" s="33"/>
    </row>
    <row r="425" spans="1:8" ht="18">
      <c r="A425" s="33"/>
      <c r="B425" s="33"/>
      <c r="C425" s="33"/>
      <c r="D425" s="33"/>
      <c r="E425" s="33"/>
      <c r="F425" s="1"/>
      <c r="G425" s="33"/>
      <c r="H425" s="33"/>
    </row>
    <row r="426" spans="1:8" ht="18">
      <c r="A426" s="33"/>
      <c r="B426" s="33"/>
      <c r="C426" s="33"/>
      <c r="D426" s="33"/>
      <c r="E426" s="33"/>
      <c r="F426" s="1"/>
      <c r="G426" s="33"/>
      <c r="H426" s="33"/>
    </row>
    <row r="427" spans="1:8" ht="18">
      <c r="A427" s="33"/>
      <c r="B427" s="33"/>
      <c r="C427" s="33"/>
      <c r="D427" s="33"/>
      <c r="E427" s="33"/>
      <c r="F427" s="1"/>
      <c r="G427" s="33"/>
      <c r="H427" s="33"/>
    </row>
    <row r="428" spans="1:8" ht="18">
      <c r="A428" s="33"/>
      <c r="B428" s="33"/>
      <c r="C428" s="33"/>
      <c r="D428" s="33"/>
      <c r="E428" s="33"/>
      <c r="F428" s="1"/>
      <c r="G428" s="33"/>
      <c r="H428" s="33"/>
    </row>
  </sheetData>
  <mergeCells count="59">
    <mergeCell ref="A290:A297"/>
    <mergeCell ref="A300:A303"/>
    <mergeCell ref="A310:B310"/>
    <mergeCell ref="C310:E310"/>
    <mergeCell ref="G310:H310"/>
    <mergeCell ref="A256:H256"/>
    <mergeCell ref="B257:H257"/>
    <mergeCell ref="A259:A268"/>
    <mergeCell ref="A269:A277"/>
    <mergeCell ref="A280:A288"/>
    <mergeCell ref="A379:A386"/>
    <mergeCell ref="A390:A393"/>
    <mergeCell ref="A401:B401"/>
    <mergeCell ref="C401:E401"/>
    <mergeCell ref="G401:H401"/>
    <mergeCell ref="A346:H346"/>
    <mergeCell ref="B347:H347"/>
    <mergeCell ref="A349:A358"/>
    <mergeCell ref="A359:A366"/>
    <mergeCell ref="A369:A376"/>
    <mergeCell ref="A228:A231"/>
    <mergeCell ref="A239:B239"/>
    <mergeCell ref="C239:E239"/>
    <mergeCell ref="G239:H239"/>
    <mergeCell ref="A184:H184"/>
    <mergeCell ref="B185:H185"/>
    <mergeCell ref="A187:A197"/>
    <mergeCell ref="A198:A205"/>
    <mergeCell ref="A208:A216"/>
    <mergeCell ref="A124:H124"/>
    <mergeCell ref="B125:H125"/>
    <mergeCell ref="A126:A133"/>
    <mergeCell ref="A136:A144"/>
    <mergeCell ref="A218:A225"/>
    <mergeCell ref="A146:A153"/>
    <mergeCell ref="A156:A159"/>
    <mergeCell ref="A167:B167"/>
    <mergeCell ref="C167:E167"/>
    <mergeCell ref="G167:H167"/>
    <mergeCell ref="A98:A101"/>
    <mergeCell ref="A109:B109"/>
    <mergeCell ref="C109:E109"/>
    <mergeCell ref="G109:H109"/>
    <mergeCell ref="A66:H66"/>
    <mergeCell ref="B67:H67"/>
    <mergeCell ref="A68:A75"/>
    <mergeCell ref="A78:A86"/>
    <mergeCell ref="A88:A95"/>
    <mergeCell ref="A46:A49"/>
    <mergeCell ref="A58:B58"/>
    <mergeCell ref="C58:E58"/>
    <mergeCell ref="G58:H58"/>
    <mergeCell ref="A2:H2"/>
    <mergeCell ref="B3:H3"/>
    <mergeCell ref="A4:A11"/>
    <mergeCell ref="A14:A22"/>
    <mergeCell ref="A38:A41"/>
    <mergeCell ref="A35:A37"/>
    <mergeCell ref="A24:A32"/>
  </mergeCells>
  <phoneticPr fontId="14" type="noConversion"/>
  <pageMargins left="0.39370078740157483" right="0.31496062992125984" top="0.4330708661417322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9FD6-2CF0-4030-B9C5-A2069ACBC737}">
  <dimension ref="A1:T381"/>
  <sheetViews>
    <sheetView topLeftCell="A171" zoomScaleNormal="100" workbookViewId="0">
      <selection activeCell="B181" sqref="B181:H189"/>
    </sheetView>
  </sheetViews>
  <sheetFormatPr defaultRowHeight="13.8"/>
  <cols>
    <col min="1" max="1" width="5.796875" customWidth="1"/>
    <col min="2" max="2" width="23.19921875" customWidth="1"/>
    <col min="3" max="3" width="8.8984375" style="34" customWidth="1"/>
    <col min="4" max="4" width="6.796875" customWidth="1"/>
    <col min="5" max="5" width="7.8984375" style="34" customWidth="1"/>
    <col min="6" max="6" width="4.8984375" customWidth="1"/>
    <col min="7" max="7" width="10.09765625" customWidth="1"/>
    <col min="8" max="8" width="13.296875" customWidth="1"/>
    <col min="9" max="9" width="43" customWidth="1"/>
    <col min="10" max="10" width="12.69921875" customWidth="1"/>
    <col min="11" max="11" width="13.8984375" customWidth="1"/>
    <col min="12" max="12" width="11.5" customWidth="1"/>
    <col min="13" max="13" width="12.296875" bestFit="1" customWidth="1"/>
    <col min="15" max="16" width="8.8984375" bestFit="1" customWidth="1"/>
    <col min="19" max="19" width="8.8984375" bestFit="1" customWidth="1"/>
    <col min="20" max="20" width="10.296875" bestFit="1" customWidth="1"/>
  </cols>
  <sheetData>
    <row r="1" spans="1:20" ht="15.6">
      <c r="A1" s="6" t="s">
        <v>0</v>
      </c>
      <c r="B1" s="6"/>
    </row>
    <row r="2" spans="1:20" s="110" customFormat="1" ht="16.8" customHeight="1">
      <c r="A2" s="347" t="s">
        <v>236</v>
      </c>
      <c r="B2" s="347"/>
      <c r="C2" s="347"/>
      <c r="D2" s="347"/>
      <c r="E2" s="347"/>
      <c r="F2" s="347"/>
      <c r="G2" s="347"/>
      <c r="H2" s="347"/>
      <c r="I2" s="181">
        <f>1996200/15</f>
        <v>133080</v>
      </c>
    </row>
    <row r="3" spans="1:20" s="110" customFormat="1" ht="16.8" customHeight="1">
      <c r="A3" s="109"/>
      <c r="B3" s="348" t="s">
        <v>262</v>
      </c>
      <c r="C3" s="348"/>
      <c r="D3" s="348"/>
      <c r="E3" s="348"/>
      <c r="F3" s="348"/>
      <c r="G3" s="348"/>
      <c r="H3" s="348"/>
    </row>
    <row r="4" spans="1:20" ht="15" customHeight="1">
      <c r="A4" s="7" t="s">
        <v>15</v>
      </c>
      <c r="B4" s="8" t="s">
        <v>16</v>
      </c>
      <c r="C4" s="9" t="s">
        <v>17</v>
      </c>
      <c r="D4" s="10" t="s">
        <v>18</v>
      </c>
      <c r="E4" s="45" t="s">
        <v>19</v>
      </c>
      <c r="F4" s="11" t="s">
        <v>5</v>
      </c>
      <c r="G4" s="7" t="s">
        <v>20</v>
      </c>
      <c r="H4" s="7" t="s">
        <v>21</v>
      </c>
      <c r="K4">
        <f>225*17000</f>
        <v>3825000</v>
      </c>
      <c r="L4" t="s">
        <v>33</v>
      </c>
      <c r="N4" s="12" t="s">
        <v>22</v>
      </c>
      <c r="O4" s="92">
        <f>Q4/P4</f>
        <v>0.11931330472103005</v>
      </c>
      <c r="P4" s="17">
        <v>233</v>
      </c>
      <c r="Q4" s="53" t="s">
        <v>108</v>
      </c>
      <c r="R4" s="12" t="s">
        <v>1</v>
      </c>
      <c r="S4" s="13">
        <v>21525</v>
      </c>
      <c r="T4" s="14">
        <f>Q4*S4</f>
        <v>598395</v>
      </c>
    </row>
    <row r="5" spans="1:20" s="117" customFormat="1" ht="15" customHeight="1">
      <c r="A5" s="356" t="s">
        <v>261</v>
      </c>
      <c r="B5" s="111" t="s">
        <v>11</v>
      </c>
      <c r="C5" s="112">
        <f>E5/D5</f>
        <v>0.1206140350877193</v>
      </c>
      <c r="D5" s="38">
        <v>228</v>
      </c>
      <c r="E5" s="184">
        <v>27.5</v>
      </c>
      <c r="F5" s="113" t="s">
        <v>1</v>
      </c>
      <c r="G5" s="114">
        <v>21000</v>
      </c>
      <c r="H5" s="115">
        <f>E5*G5</f>
        <v>577500</v>
      </c>
      <c r="I5" s="116"/>
      <c r="N5" s="38" t="s">
        <v>6</v>
      </c>
      <c r="O5" s="118">
        <f>Q5/P5</f>
        <v>6.5236051502145925E-2</v>
      </c>
      <c r="P5" s="38">
        <v>233</v>
      </c>
      <c r="Q5" s="119" t="s">
        <v>124</v>
      </c>
      <c r="R5" s="38" t="s">
        <v>1</v>
      </c>
      <c r="S5" s="120">
        <v>136500</v>
      </c>
      <c r="T5" s="121">
        <f>Q5*S5</f>
        <v>2074800</v>
      </c>
    </row>
    <row r="6" spans="1:20" s="117" customFormat="1" ht="15" customHeight="1">
      <c r="A6" s="357"/>
      <c r="B6" s="38" t="s">
        <v>42</v>
      </c>
      <c r="C6" s="38">
        <f>E6/D6</f>
        <v>5.8333333333333334E-2</v>
      </c>
      <c r="D6" s="38">
        <v>228</v>
      </c>
      <c r="E6" s="163">
        <v>13.3</v>
      </c>
      <c r="F6" s="38" t="s">
        <v>1</v>
      </c>
      <c r="G6" s="120">
        <v>169560</v>
      </c>
      <c r="H6" s="121">
        <f>E6*G6</f>
        <v>2255148</v>
      </c>
      <c r="I6" s="124">
        <f>232*17000</f>
        <v>3944000</v>
      </c>
      <c r="N6" s="38" t="s">
        <v>34</v>
      </c>
      <c r="O6" s="118">
        <f t="shared" ref="O6:O7" si="0">Q6/P6</f>
        <v>3.004291845493562E-3</v>
      </c>
      <c r="P6" s="38">
        <v>233</v>
      </c>
      <c r="Q6" s="119" t="s">
        <v>35</v>
      </c>
      <c r="R6" s="38" t="s">
        <v>1</v>
      </c>
      <c r="S6" s="120">
        <v>306600</v>
      </c>
      <c r="T6" s="121">
        <f>Q6*S6</f>
        <v>214620</v>
      </c>
    </row>
    <row r="7" spans="1:20" s="117" customFormat="1" ht="19.2" customHeight="1">
      <c r="A7" s="358"/>
      <c r="B7" s="38" t="s">
        <v>43</v>
      </c>
      <c r="C7" s="38">
        <f t="shared" ref="C7:C9" si="1">E7/D7</f>
        <v>0.57456140350877194</v>
      </c>
      <c r="D7" s="38">
        <v>228</v>
      </c>
      <c r="E7" s="163">
        <v>131</v>
      </c>
      <c r="F7" s="38" t="s">
        <v>1</v>
      </c>
      <c r="G7" s="120">
        <v>3456</v>
      </c>
      <c r="H7" s="121">
        <f t="shared" ref="H7:H12" si="2">E7*G7</f>
        <v>452736</v>
      </c>
      <c r="I7" s="128">
        <f>I6-H14</f>
        <v>68000</v>
      </c>
      <c r="J7" s="117" t="s">
        <v>71</v>
      </c>
      <c r="K7" s="117">
        <v>22050</v>
      </c>
      <c r="L7" s="123">
        <f>K7*5</f>
        <v>110250</v>
      </c>
      <c r="M7" s="117" t="s">
        <v>88</v>
      </c>
      <c r="N7" s="38" t="s">
        <v>36</v>
      </c>
      <c r="O7" s="118">
        <f t="shared" si="0"/>
        <v>3.733905579399141E-2</v>
      </c>
      <c r="P7" s="38">
        <v>233</v>
      </c>
      <c r="Q7" s="119" t="s">
        <v>112</v>
      </c>
      <c r="R7" s="38" t="s">
        <v>1</v>
      </c>
      <c r="S7" s="120">
        <v>67200</v>
      </c>
      <c r="T7" s="121">
        <f>Q7*S7</f>
        <v>584640</v>
      </c>
    </row>
    <row r="8" spans="1:20" s="117" customFormat="1" ht="21.6" customHeight="1">
      <c r="A8" s="358"/>
      <c r="B8" s="38" t="s">
        <v>44</v>
      </c>
      <c r="C8" s="38">
        <f t="shared" si="1"/>
        <v>2.7192982456140352E-2</v>
      </c>
      <c r="D8" s="38">
        <v>228</v>
      </c>
      <c r="E8" s="163">
        <v>6.2</v>
      </c>
      <c r="F8" s="38" t="s">
        <v>1</v>
      </c>
      <c r="G8" s="120">
        <v>23100</v>
      </c>
      <c r="H8" s="121">
        <f t="shared" si="2"/>
        <v>143220</v>
      </c>
      <c r="J8" s="117" t="s">
        <v>39</v>
      </c>
      <c r="K8" s="117" t="s">
        <v>40</v>
      </c>
      <c r="L8" s="123">
        <f>136500*1</f>
        <v>136500</v>
      </c>
      <c r="N8" s="38" t="s">
        <v>72</v>
      </c>
      <c r="O8" s="38"/>
      <c r="P8" s="38">
        <v>233</v>
      </c>
      <c r="Q8" s="119"/>
      <c r="R8" s="38" t="s">
        <v>27</v>
      </c>
      <c r="S8" s="120">
        <v>1450</v>
      </c>
      <c r="T8" s="121">
        <f>184800+136500</f>
        <v>321300</v>
      </c>
    </row>
    <row r="9" spans="1:20" s="117" customFormat="1" ht="15" customHeight="1">
      <c r="A9" s="358"/>
      <c r="B9" s="38" t="s">
        <v>153</v>
      </c>
      <c r="C9" s="142">
        <f t="shared" si="1"/>
        <v>4.3859649122807015E-3</v>
      </c>
      <c r="D9" s="38">
        <v>228</v>
      </c>
      <c r="E9" s="163">
        <v>1</v>
      </c>
      <c r="F9" s="38" t="s">
        <v>4</v>
      </c>
      <c r="G9" s="120">
        <v>141750</v>
      </c>
      <c r="H9" s="121">
        <f t="shared" si="2"/>
        <v>141750</v>
      </c>
      <c r="I9" s="124">
        <f>231*17000</f>
        <v>3927000</v>
      </c>
      <c r="J9" s="117" t="s">
        <v>66</v>
      </c>
      <c r="K9" s="117">
        <v>60900</v>
      </c>
      <c r="L9" s="123">
        <f>K9*0.1</f>
        <v>6090</v>
      </c>
      <c r="N9" s="125" t="s">
        <v>25</v>
      </c>
      <c r="O9" s="125"/>
      <c r="P9" s="125"/>
      <c r="Q9" s="126"/>
      <c r="R9" s="127"/>
      <c r="S9" s="125"/>
      <c r="T9" s="121">
        <v>136716</v>
      </c>
    </row>
    <row r="10" spans="1:20" s="117" customFormat="1" ht="15" customHeight="1">
      <c r="A10" s="358"/>
      <c r="B10" s="38" t="s">
        <v>55</v>
      </c>
      <c r="C10" s="163"/>
      <c r="D10" s="38"/>
      <c r="E10" s="163">
        <v>0.1</v>
      </c>
      <c r="F10" s="38" t="s">
        <v>4</v>
      </c>
      <c r="G10" s="120">
        <v>36750</v>
      </c>
      <c r="H10" s="121">
        <f t="shared" si="2"/>
        <v>3675</v>
      </c>
      <c r="I10" s="128">
        <f>H14-I9</f>
        <v>-51000</v>
      </c>
      <c r="L10" s="123"/>
      <c r="N10" s="129"/>
      <c r="O10" s="129"/>
      <c r="P10" s="129"/>
      <c r="Q10" s="130"/>
      <c r="R10" s="131"/>
      <c r="S10" s="129"/>
      <c r="T10" s="132"/>
    </row>
    <row r="11" spans="1:20" s="117" customFormat="1" ht="15" customHeight="1">
      <c r="A11" s="358"/>
      <c r="B11" s="162" t="s">
        <v>154</v>
      </c>
      <c r="C11" s="163"/>
      <c r="D11" s="166"/>
      <c r="E11" s="185">
        <v>8.8000000000000007</v>
      </c>
      <c r="F11" s="38" t="s">
        <v>1</v>
      </c>
      <c r="G11" s="120">
        <v>18900</v>
      </c>
      <c r="H11" s="121">
        <f t="shared" si="2"/>
        <v>166320</v>
      </c>
      <c r="I11" s="128">
        <f>0.1*232</f>
        <v>23.200000000000003</v>
      </c>
      <c r="L11" s="123"/>
      <c r="N11" s="129"/>
      <c r="O11" s="129"/>
      <c r="P11" s="129"/>
      <c r="Q11" s="130"/>
      <c r="R11" s="131"/>
      <c r="S11" s="129"/>
      <c r="T11" s="132"/>
    </row>
    <row r="12" spans="1:20" s="117" customFormat="1" ht="15" customHeight="1">
      <c r="A12" s="358"/>
      <c r="B12" s="38" t="s">
        <v>12</v>
      </c>
      <c r="C12" s="38"/>
      <c r="D12" s="38"/>
      <c r="E12" s="163">
        <v>0.1</v>
      </c>
      <c r="F12" s="38" t="s">
        <v>1</v>
      </c>
      <c r="G12" s="120">
        <v>57750</v>
      </c>
      <c r="H12" s="121">
        <f t="shared" si="2"/>
        <v>5775</v>
      </c>
      <c r="I12" s="128"/>
      <c r="L12" s="123"/>
      <c r="N12" s="129"/>
      <c r="O12" s="129"/>
      <c r="P12" s="129"/>
      <c r="Q12" s="130"/>
      <c r="R12" s="131"/>
      <c r="S12" s="129"/>
      <c r="T12" s="132"/>
    </row>
    <row r="13" spans="1:20" s="117" customFormat="1" ht="15" customHeight="1">
      <c r="A13" s="358"/>
      <c r="B13" s="125" t="s">
        <v>25</v>
      </c>
      <c r="C13" s="125"/>
      <c r="D13" s="125"/>
      <c r="E13" s="126"/>
      <c r="F13" s="127"/>
      <c r="G13" s="125"/>
      <c r="H13" s="278">
        <f>130426-550</f>
        <v>129876</v>
      </c>
      <c r="L13" s="123"/>
      <c r="N13" s="129"/>
      <c r="O13" s="129"/>
      <c r="P13" s="129"/>
      <c r="Q13" s="130"/>
      <c r="R13" s="131"/>
      <c r="S13" s="129"/>
      <c r="T13" s="132"/>
    </row>
    <row r="14" spans="1:20" s="148" customFormat="1" ht="22.2" customHeight="1">
      <c r="A14" s="359"/>
      <c r="B14" s="298"/>
      <c r="C14" s="298"/>
      <c r="D14" s="298"/>
      <c r="E14" s="299"/>
      <c r="F14" s="300"/>
      <c r="G14" s="298"/>
      <c r="H14" s="301">
        <f>SUM(H5:H13)</f>
        <v>3876000</v>
      </c>
      <c r="I14" s="147">
        <f>H14-I9</f>
        <v>-51000</v>
      </c>
      <c r="J14" s="148" t="s">
        <v>114</v>
      </c>
      <c r="K14" s="147">
        <v>68040</v>
      </c>
      <c r="L14" s="147">
        <f>0.1*K14</f>
        <v>6804</v>
      </c>
    </row>
    <row r="15" spans="1:20" s="117" customFormat="1" ht="15" customHeight="1">
      <c r="A15" s="349"/>
      <c r="B15" s="111"/>
      <c r="C15" s="112"/>
      <c r="D15" s="38"/>
      <c r="E15" s="184"/>
      <c r="F15" s="113"/>
      <c r="G15" s="114"/>
      <c r="H15" s="115"/>
      <c r="I15" s="182"/>
      <c r="J15" s="128"/>
    </row>
    <row r="16" spans="1:20" s="117" customFormat="1" ht="15" customHeight="1">
      <c r="A16" s="350"/>
      <c r="B16" s="213"/>
      <c r="C16" s="38"/>
      <c r="D16" s="38"/>
      <c r="E16" s="269"/>
      <c r="F16" s="38"/>
      <c r="G16" s="120"/>
      <c r="H16" s="121"/>
      <c r="I16" s="123"/>
      <c r="J16" s="124"/>
    </row>
    <row r="17" spans="1:17" s="117" customFormat="1" ht="15" customHeight="1">
      <c r="A17" s="350"/>
      <c r="B17" s="213"/>
      <c r="C17" s="38"/>
      <c r="D17" s="38"/>
      <c r="E17" s="273"/>
      <c r="F17" s="38"/>
      <c r="G17" s="120"/>
      <c r="H17" s="121"/>
    </row>
    <row r="18" spans="1:17" s="117" customFormat="1" ht="15" customHeight="1">
      <c r="A18" s="350"/>
      <c r="B18" s="213"/>
      <c r="C18" s="38"/>
      <c r="D18" s="38"/>
      <c r="E18" s="273"/>
      <c r="F18" s="38"/>
      <c r="G18" s="120"/>
      <c r="H18" s="121"/>
      <c r="I18" s="135"/>
      <c r="K18" s="113"/>
      <c r="L18" s="140"/>
      <c r="M18" s="159"/>
      <c r="N18" s="187"/>
      <c r="O18" s="160"/>
      <c r="P18" s="141"/>
      <c r="Q18" s="161"/>
    </row>
    <row r="19" spans="1:17" s="117" customFormat="1" ht="15" customHeight="1">
      <c r="A19" s="350"/>
      <c r="B19" s="38"/>
      <c r="C19" s="163"/>
      <c r="D19" s="38"/>
      <c r="E19" s="163"/>
      <c r="F19" s="38"/>
      <c r="G19" s="120"/>
      <c r="H19" s="121"/>
      <c r="K19" s="162"/>
      <c r="L19" s="142"/>
      <c r="M19" s="164"/>
      <c r="N19" s="188"/>
      <c r="O19" s="38"/>
      <c r="P19" s="165"/>
      <c r="Q19" s="121"/>
    </row>
    <row r="20" spans="1:17" s="117" customFormat="1" ht="15" customHeight="1">
      <c r="A20" s="350"/>
      <c r="B20" s="162"/>
      <c r="C20" s="163"/>
      <c r="D20" s="166"/>
      <c r="E20" s="185"/>
      <c r="F20" s="38"/>
      <c r="G20" s="120"/>
      <c r="H20" s="121"/>
      <c r="K20" s="162"/>
      <c r="L20" s="142"/>
      <c r="M20" s="164"/>
      <c r="N20" s="188"/>
      <c r="O20" s="38"/>
      <c r="P20" s="165"/>
      <c r="Q20" s="121"/>
    </row>
    <row r="21" spans="1:17" s="117" customFormat="1" ht="15" customHeight="1">
      <c r="A21" s="350"/>
      <c r="B21" s="38"/>
      <c r="C21" s="38"/>
      <c r="D21" s="38"/>
      <c r="E21" s="163"/>
      <c r="F21" s="38"/>
      <c r="G21" s="120"/>
      <c r="H21" s="121"/>
      <c r="K21" s="38"/>
      <c r="L21" s="142"/>
      <c r="M21" s="164"/>
      <c r="N21" s="163"/>
      <c r="O21" s="38"/>
      <c r="P21" s="120"/>
      <c r="Q21" s="121"/>
    </row>
    <row r="22" spans="1:17" s="117" customFormat="1" ht="15" customHeight="1">
      <c r="A22" s="351"/>
      <c r="B22" s="125"/>
      <c r="C22" s="125"/>
      <c r="D22" s="125"/>
      <c r="E22" s="126"/>
      <c r="F22" s="127"/>
      <c r="G22" s="125"/>
      <c r="H22" s="121"/>
      <c r="K22" s="38"/>
      <c r="L22" s="163"/>
      <c r="M22" s="164"/>
      <c r="N22" s="163"/>
      <c r="O22" s="38"/>
      <c r="P22" s="120"/>
      <c r="Q22" s="121"/>
    </row>
    <row r="23" spans="1:17" s="148" customFormat="1" ht="18.600000000000001" customHeight="1">
      <c r="A23" s="149"/>
      <c r="B23" s="150"/>
      <c r="C23" s="151"/>
      <c r="D23" s="151"/>
      <c r="E23" s="152"/>
      <c r="F23" s="153"/>
      <c r="G23" s="150"/>
      <c r="H23" s="154"/>
      <c r="I23" s="183"/>
      <c r="K23" s="162"/>
      <c r="L23" s="163"/>
      <c r="M23" s="166"/>
      <c r="N23" s="185"/>
      <c r="O23" s="38"/>
      <c r="P23" s="120"/>
      <c r="Q23" s="121"/>
    </row>
    <row r="24" spans="1:17" s="232" customFormat="1" ht="15" customHeight="1">
      <c r="A24" s="241"/>
      <c r="B24" s="111"/>
      <c r="C24" s="264"/>
      <c r="D24" s="213"/>
      <c r="E24" s="187"/>
      <c r="F24" s="265"/>
      <c r="G24" s="266"/>
      <c r="H24" s="267"/>
      <c r="K24" s="38"/>
      <c r="L24" s="146"/>
      <c r="M24" s="38"/>
      <c r="N24" s="119"/>
      <c r="O24" s="38"/>
      <c r="P24" s="120"/>
      <c r="Q24" s="121"/>
    </row>
    <row r="25" spans="1:17" s="232" customFormat="1" ht="15" customHeight="1">
      <c r="A25" s="360"/>
      <c r="B25" s="265"/>
      <c r="C25" s="268"/>
      <c r="D25" s="213"/>
      <c r="E25" s="187"/>
      <c r="F25" s="213"/>
      <c r="G25" s="266"/>
      <c r="H25" s="271"/>
      <c r="K25" s="167"/>
      <c r="L25" s="146"/>
      <c r="M25" s="168"/>
      <c r="N25" s="169"/>
      <c r="O25" s="164"/>
      <c r="P25" s="120"/>
      <c r="Q25" s="133"/>
    </row>
    <row r="26" spans="1:17" s="232" customFormat="1" ht="19.2" customHeight="1">
      <c r="A26" s="360"/>
      <c r="B26" s="38"/>
      <c r="C26" s="142"/>
      <c r="D26" s="164"/>
      <c r="E26" s="163"/>
      <c r="F26" s="38"/>
      <c r="G26" s="120"/>
      <c r="H26" s="121"/>
      <c r="I26" s="256"/>
      <c r="J26" s="231"/>
      <c r="K26" s="231"/>
      <c r="L26" s="231"/>
    </row>
    <row r="27" spans="1:17" s="232" customFormat="1" ht="15" customHeight="1">
      <c r="A27" s="360"/>
      <c r="B27" s="213"/>
      <c r="C27" s="272"/>
      <c r="D27" s="213"/>
      <c r="E27" s="273"/>
      <c r="F27" s="213"/>
      <c r="G27" s="270"/>
      <c r="H27" s="271"/>
      <c r="K27" s="231"/>
      <c r="L27" s="231"/>
    </row>
    <row r="28" spans="1:17" s="232" customFormat="1" ht="15" customHeight="1">
      <c r="A28" s="360"/>
      <c r="B28" s="213"/>
      <c r="C28" s="272"/>
      <c r="D28" s="213"/>
      <c r="E28" s="273"/>
      <c r="F28" s="213"/>
      <c r="G28" s="270"/>
      <c r="H28" s="271"/>
      <c r="K28" s="231"/>
      <c r="L28" s="231"/>
    </row>
    <row r="29" spans="1:17" s="232" customFormat="1" ht="15" customHeight="1">
      <c r="A29" s="360"/>
      <c r="B29" s="213"/>
      <c r="C29" s="272"/>
      <c r="D29" s="213"/>
      <c r="E29" s="273"/>
      <c r="F29" s="213"/>
      <c r="G29" s="270"/>
      <c r="H29" s="271"/>
      <c r="K29" s="231"/>
      <c r="L29" s="231"/>
    </row>
    <row r="30" spans="1:17" s="232" customFormat="1" ht="15" customHeight="1">
      <c r="A30" s="360"/>
      <c r="B30" s="213"/>
      <c r="C30" s="272"/>
      <c r="D30" s="213"/>
      <c r="E30" s="273"/>
      <c r="F30" s="213"/>
      <c r="G30" s="270"/>
      <c r="H30" s="271"/>
      <c r="K30" s="12"/>
      <c r="L30" s="142"/>
      <c r="M30" s="17"/>
      <c r="N30" s="286"/>
      <c r="O30" s="12"/>
      <c r="P30" s="13"/>
      <c r="Q30" s="14"/>
    </row>
    <row r="31" spans="1:17" s="232" customFormat="1" ht="15" customHeight="1">
      <c r="A31" s="360"/>
      <c r="B31" s="213"/>
      <c r="C31" s="268"/>
      <c r="D31" s="213"/>
      <c r="E31" s="273"/>
      <c r="F31" s="213"/>
      <c r="G31" s="120"/>
      <c r="H31" s="121"/>
      <c r="K31" s="15"/>
      <c r="L31" s="142"/>
      <c r="M31" s="17"/>
      <c r="N31" s="303"/>
      <c r="O31" s="15"/>
      <c r="P31" s="40"/>
      <c r="Q31" s="16"/>
    </row>
    <row r="32" spans="1:17" s="232" customFormat="1" ht="15" customHeight="1">
      <c r="A32" s="360"/>
      <c r="B32" s="213"/>
      <c r="C32" s="216"/>
      <c r="D32" s="213"/>
      <c r="E32" s="274"/>
      <c r="F32" s="213"/>
      <c r="G32" s="120"/>
      <c r="H32" s="121"/>
      <c r="I32" s="263"/>
      <c r="K32" s="38"/>
      <c r="L32" s="142"/>
      <c r="M32" s="17"/>
      <c r="N32" s="42"/>
      <c r="O32" s="38"/>
      <c r="P32" s="120"/>
      <c r="Q32" s="121"/>
    </row>
    <row r="33" spans="1:17" s="232" customFormat="1" ht="15" customHeight="1">
      <c r="A33" s="360"/>
      <c r="B33" s="275"/>
      <c r="C33" s="275"/>
      <c r="D33" s="275"/>
      <c r="E33" s="276"/>
      <c r="F33" s="277"/>
      <c r="G33" s="275"/>
      <c r="H33" s="278"/>
      <c r="K33" s="38"/>
      <c r="L33" s="144"/>
      <c r="M33" s="17"/>
      <c r="N33" s="287"/>
      <c r="O33" s="38"/>
      <c r="P33" s="120"/>
      <c r="Q33" s="121"/>
    </row>
    <row r="34" spans="1:17" s="134" customFormat="1" ht="20.399999999999999" customHeight="1">
      <c r="A34" s="218"/>
      <c r="B34" s="20"/>
      <c r="C34" s="20"/>
      <c r="D34" s="20"/>
      <c r="E34" s="56"/>
      <c r="F34" s="21"/>
      <c r="G34" s="20"/>
      <c r="H34" s="5"/>
      <c r="I34" s="217"/>
      <c r="K34" s="17"/>
      <c r="L34" s="17"/>
      <c r="M34" s="17"/>
      <c r="N34" s="302"/>
      <c r="O34" s="17"/>
      <c r="P34" s="19"/>
      <c r="Q34" s="19"/>
    </row>
    <row r="35" spans="1:17" s="134" customFormat="1" ht="20.399999999999999" customHeight="1">
      <c r="A35" s="353"/>
      <c r="B35" s="113"/>
      <c r="C35" s="140"/>
      <c r="D35" s="213"/>
      <c r="E35" s="186"/>
      <c r="F35" s="113"/>
      <c r="G35" s="141"/>
      <c r="H35" s="115"/>
      <c r="I35" s="217"/>
      <c r="K35" s="17"/>
      <c r="L35" s="17"/>
      <c r="M35" s="17"/>
      <c r="N35" s="192"/>
      <c r="O35" s="17"/>
      <c r="P35" s="19"/>
      <c r="Q35" s="19"/>
    </row>
    <row r="36" spans="1:17" s="134" customFormat="1" ht="20.399999999999999" customHeight="1">
      <c r="A36" s="354"/>
      <c r="B36" s="38"/>
      <c r="C36" s="142"/>
      <c r="D36" s="213"/>
      <c r="E36" s="143"/>
      <c r="F36" s="38"/>
      <c r="G36" s="120"/>
      <c r="H36" s="121"/>
      <c r="I36" s="217"/>
      <c r="K36" s="17"/>
      <c r="L36" s="17"/>
      <c r="M36" s="17"/>
      <c r="N36" s="302"/>
      <c r="O36" s="17"/>
      <c r="P36" s="18"/>
      <c r="Q36" s="19"/>
    </row>
    <row r="37" spans="1:17" s="134" customFormat="1" ht="20.399999999999999" customHeight="1">
      <c r="A37" s="354"/>
      <c r="B37" s="38"/>
      <c r="C37" s="144"/>
      <c r="D37" s="164"/>
      <c r="E37" s="287"/>
      <c r="F37" s="38"/>
      <c r="G37" s="120"/>
      <c r="H37" s="121"/>
      <c r="I37" s="217"/>
      <c r="K37" s="17"/>
      <c r="L37" s="17"/>
      <c r="M37" s="17"/>
      <c r="N37" s="287"/>
      <c r="O37" s="17"/>
      <c r="P37" s="120"/>
      <c r="Q37" s="121"/>
    </row>
    <row r="38" spans="1:17" s="134" customFormat="1" ht="20.399999999999999" customHeight="1">
      <c r="A38" s="354"/>
      <c r="B38" s="38"/>
      <c r="C38" s="144"/>
      <c r="D38" s="213"/>
      <c r="E38" s="119"/>
      <c r="F38" s="38"/>
      <c r="G38" s="120"/>
      <c r="H38" s="121"/>
      <c r="I38" s="217"/>
      <c r="K38" s="20"/>
      <c r="L38" s="35"/>
      <c r="M38" s="17"/>
      <c r="N38" s="288"/>
      <c r="O38" s="17"/>
      <c r="P38" s="120"/>
      <c r="Q38" s="121"/>
    </row>
    <row r="39" spans="1:17" s="134" customFormat="1" ht="20.399999999999999" customHeight="1">
      <c r="A39" s="354"/>
      <c r="B39" s="38"/>
      <c r="C39" s="144"/>
      <c r="D39" s="164"/>
      <c r="E39" s="119"/>
      <c r="F39" s="38"/>
      <c r="G39" s="120"/>
      <c r="H39" s="121"/>
      <c r="I39" s="217"/>
      <c r="K39" s="20"/>
      <c r="L39" s="20"/>
      <c r="M39" s="20"/>
      <c r="N39" s="56"/>
      <c r="O39" s="21"/>
      <c r="P39" s="20"/>
      <c r="Q39" s="285"/>
    </row>
    <row r="40" spans="1:17" s="134" customFormat="1" ht="20.399999999999999" customHeight="1">
      <c r="A40" s="354"/>
      <c r="B40" s="38"/>
      <c r="C40" s="171"/>
      <c r="D40" s="164"/>
      <c r="E40" s="119"/>
      <c r="F40" s="38"/>
      <c r="G40" s="120"/>
      <c r="H40" s="121"/>
      <c r="I40" s="217"/>
      <c r="K40" s="35"/>
      <c r="L40" s="35"/>
      <c r="M40" s="35"/>
      <c r="N40" s="55"/>
      <c r="O40" s="305"/>
      <c r="P40" s="35"/>
      <c r="Q40" s="285"/>
    </row>
    <row r="41" spans="1:17" s="134" customFormat="1" ht="20.399999999999999" customHeight="1">
      <c r="A41" s="354"/>
      <c r="B41" s="38"/>
      <c r="C41" s="146"/>
      <c r="D41" s="38"/>
      <c r="E41" s="119"/>
      <c r="F41" s="38"/>
      <c r="G41" s="120"/>
      <c r="H41" s="121"/>
      <c r="I41" s="217"/>
      <c r="K41" s="213"/>
      <c r="L41" s="272"/>
      <c r="M41" s="213"/>
      <c r="N41" s="273"/>
      <c r="O41" s="213"/>
      <c r="P41" s="270"/>
      <c r="Q41" s="271"/>
    </row>
    <row r="42" spans="1:17" s="134" customFormat="1" ht="20.399999999999999" customHeight="1">
      <c r="A42" s="354"/>
      <c r="B42" s="38"/>
      <c r="C42" s="125"/>
      <c r="D42" s="38"/>
      <c r="E42" s="119"/>
      <c r="F42" s="38"/>
      <c r="G42" s="120"/>
      <c r="H42" s="121"/>
      <c r="I42" s="217"/>
      <c r="K42" s="213"/>
      <c r="L42" s="272"/>
      <c r="M42" s="213"/>
      <c r="N42" s="273"/>
      <c r="O42" s="213"/>
      <c r="P42" s="270"/>
      <c r="Q42" s="271"/>
    </row>
    <row r="43" spans="1:17" s="134" customFormat="1" ht="20.399999999999999" customHeight="1">
      <c r="A43" s="289"/>
      <c r="B43" s="275"/>
      <c r="C43" s="275"/>
      <c r="D43" s="275"/>
      <c r="E43" s="276"/>
      <c r="F43" s="277"/>
      <c r="G43" s="275"/>
      <c r="H43" s="278"/>
      <c r="I43" s="217"/>
      <c r="K43" s="290"/>
      <c r="L43" s="272"/>
      <c r="M43" s="290"/>
      <c r="N43" s="291"/>
      <c r="O43" s="290"/>
      <c r="P43" s="292"/>
      <c r="Q43" s="293"/>
    </row>
    <row r="44" spans="1:17" s="134" customFormat="1" ht="20.399999999999999" customHeight="1">
      <c r="A44" s="218"/>
      <c r="B44" s="294"/>
      <c r="C44" s="220"/>
      <c r="D44" s="294"/>
      <c r="E44" s="295"/>
      <c r="F44" s="294"/>
      <c r="G44" s="296"/>
      <c r="H44" s="297"/>
      <c r="I44" s="217"/>
      <c r="K44" s="275"/>
      <c r="L44" s="275"/>
      <c r="M44" s="275"/>
      <c r="N44" s="276"/>
      <c r="O44" s="277"/>
      <c r="P44" s="275"/>
      <c r="Q44" s="278"/>
    </row>
    <row r="45" spans="1:17" s="134" customFormat="1" ht="15" customHeight="1">
      <c r="A45" s="346"/>
      <c r="B45" s="98"/>
      <c r="C45" s="100"/>
      <c r="D45" s="213"/>
      <c r="E45" s="186"/>
      <c r="F45" s="113"/>
      <c r="G45" s="141"/>
      <c r="H45" s="115"/>
      <c r="I45" s="284"/>
      <c r="J45" s="217"/>
    </row>
    <row r="46" spans="1:17" s="134" customFormat="1" ht="15" customHeight="1">
      <c r="A46" s="346"/>
      <c r="B46" s="17"/>
      <c r="C46" s="101"/>
      <c r="D46" s="17"/>
      <c r="E46" s="17"/>
      <c r="F46" s="17"/>
      <c r="G46" s="18"/>
      <c r="H46" s="19"/>
      <c r="J46" s="280"/>
    </row>
    <row r="47" spans="1:17" s="134" customFormat="1" ht="15" customHeight="1">
      <c r="A47" s="346"/>
      <c r="B47" s="213"/>
      <c r="C47" s="272"/>
      <c r="D47" s="213"/>
      <c r="E47" s="273"/>
      <c r="F47" s="213"/>
      <c r="G47" s="270"/>
      <c r="H47" s="271"/>
    </row>
    <row r="48" spans="1:17" s="134" customFormat="1" ht="15" customHeight="1">
      <c r="A48" s="346"/>
      <c r="B48" s="38"/>
      <c r="C48" s="142"/>
      <c r="D48" s="164"/>
      <c r="E48" s="163"/>
      <c r="F48" s="38"/>
      <c r="G48" s="120"/>
      <c r="H48" s="121"/>
    </row>
    <row r="49" spans="1:13" s="134" customFormat="1" ht="15" customHeight="1">
      <c r="A49" s="279"/>
      <c r="B49" s="213"/>
      <c r="C49" s="272"/>
      <c r="D49" s="213"/>
      <c r="E49" s="273"/>
      <c r="F49" s="213"/>
      <c r="G49" s="270"/>
      <c r="H49" s="271"/>
    </row>
    <row r="50" spans="1:13" s="134" customFormat="1" ht="15" customHeight="1">
      <c r="A50" s="279"/>
      <c r="B50" s="213"/>
      <c r="C50" s="272"/>
      <c r="D50" s="213"/>
      <c r="E50" s="273"/>
      <c r="F50" s="213"/>
      <c r="G50" s="270"/>
      <c r="H50" s="271"/>
    </row>
    <row r="51" spans="1:13" s="134" customFormat="1" ht="15" customHeight="1">
      <c r="A51" s="279"/>
      <c r="B51" s="213"/>
      <c r="C51" s="268"/>
      <c r="D51" s="213"/>
      <c r="E51" s="273"/>
      <c r="F51" s="213"/>
      <c r="G51" s="120"/>
      <c r="H51" s="121"/>
    </row>
    <row r="52" spans="1:13" s="134" customFormat="1" ht="15" customHeight="1">
      <c r="A52" s="279"/>
      <c r="B52" s="213"/>
      <c r="C52" s="216"/>
      <c r="D52" s="213"/>
      <c r="E52" s="274"/>
      <c r="F52" s="213"/>
      <c r="G52" s="120"/>
      <c r="H52" s="121"/>
    </row>
    <row r="53" spans="1:13" s="134" customFormat="1" ht="15" customHeight="1">
      <c r="A53" s="279"/>
      <c r="B53" s="275"/>
      <c r="C53" s="275"/>
      <c r="D53" s="275"/>
      <c r="E53" s="276"/>
      <c r="F53" s="277"/>
      <c r="G53" s="275"/>
      <c r="H53" s="278"/>
    </row>
    <row r="54" spans="1:13" s="155" customFormat="1" ht="19.8" customHeight="1">
      <c r="A54" s="222"/>
      <c r="B54" s="175"/>
      <c r="C54" s="175"/>
      <c r="D54" s="175"/>
      <c r="E54" s="223"/>
      <c r="F54" s="224"/>
      <c r="G54" s="175"/>
      <c r="H54" s="225"/>
      <c r="I54" s="183"/>
      <c r="J54" s="183"/>
      <c r="M54" s="134"/>
    </row>
    <row r="55" spans="1:13">
      <c r="A55" s="107"/>
      <c r="B55" s="107"/>
      <c r="C55" s="107"/>
      <c r="D55" s="107"/>
      <c r="E55" s="108"/>
    </row>
    <row r="56" spans="1:13" ht="18">
      <c r="A56" s="347" t="s">
        <v>28</v>
      </c>
      <c r="B56" s="347"/>
      <c r="C56" s="347" t="s">
        <v>29</v>
      </c>
      <c r="D56" s="347"/>
      <c r="E56" s="347"/>
      <c r="F56" s="1"/>
      <c r="G56" s="347" t="s">
        <v>30</v>
      </c>
      <c r="H56" s="347"/>
    </row>
    <row r="57" spans="1:13" ht="18">
      <c r="A57" s="33"/>
      <c r="B57" s="33"/>
      <c r="C57" s="33"/>
      <c r="D57" s="33"/>
      <c r="E57" s="33"/>
      <c r="F57" s="1"/>
      <c r="G57" s="33"/>
      <c r="H57" s="33"/>
    </row>
    <row r="58" spans="1:13" ht="18">
      <c r="A58" s="33"/>
      <c r="B58" s="33"/>
      <c r="C58" s="33"/>
      <c r="D58" s="33"/>
      <c r="E58" s="33"/>
      <c r="F58" s="1"/>
      <c r="G58" s="33"/>
      <c r="H58" s="33"/>
    </row>
    <row r="59" spans="1:13" ht="18">
      <c r="A59" s="33"/>
      <c r="B59" s="33"/>
      <c r="C59" s="33"/>
      <c r="D59" s="33"/>
      <c r="E59" s="33"/>
      <c r="F59" s="1"/>
      <c r="G59" s="33"/>
      <c r="H59" s="33"/>
    </row>
    <row r="60" spans="1:13" ht="18">
      <c r="A60" s="33"/>
      <c r="B60" s="33"/>
      <c r="C60" s="33"/>
      <c r="D60" s="33"/>
      <c r="E60" s="33"/>
      <c r="F60" s="1"/>
      <c r="G60" s="33"/>
      <c r="H60" s="33"/>
    </row>
    <row r="65" spans="1:20" ht="15.6">
      <c r="A65" s="6" t="s">
        <v>0</v>
      </c>
      <c r="B65" s="6"/>
    </row>
    <row r="66" spans="1:20" s="110" customFormat="1" ht="16.8" customHeight="1">
      <c r="A66" s="347" t="s">
        <v>236</v>
      </c>
      <c r="B66" s="347"/>
      <c r="C66" s="347"/>
      <c r="D66" s="347"/>
      <c r="E66" s="347"/>
      <c r="F66" s="347"/>
      <c r="G66" s="347"/>
      <c r="H66" s="347"/>
      <c r="I66" s="181">
        <f>1996200/15</f>
        <v>133080</v>
      </c>
    </row>
    <row r="67" spans="1:20" s="110" customFormat="1" ht="16.8" customHeight="1">
      <c r="A67" s="109"/>
      <c r="B67" s="348" t="s">
        <v>248</v>
      </c>
      <c r="C67" s="348"/>
      <c r="D67" s="348"/>
      <c r="E67" s="348"/>
      <c r="F67" s="348"/>
      <c r="G67" s="348"/>
      <c r="H67" s="348"/>
    </row>
    <row r="68" spans="1:20" ht="15" customHeight="1">
      <c r="A68" s="7" t="s">
        <v>15</v>
      </c>
      <c r="B68" s="8" t="s">
        <v>16</v>
      </c>
      <c r="C68" s="9" t="s">
        <v>17</v>
      </c>
      <c r="D68" s="10" t="s">
        <v>18</v>
      </c>
      <c r="E68" s="45" t="s">
        <v>19</v>
      </c>
      <c r="F68" s="11" t="s">
        <v>5</v>
      </c>
      <c r="G68" s="7" t="s">
        <v>20</v>
      </c>
      <c r="H68" s="7" t="s">
        <v>21</v>
      </c>
      <c r="K68">
        <f>225*17000</f>
        <v>3825000</v>
      </c>
      <c r="L68" t="s">
        <v>33</v>
      </c>
      <c r="N68" s="12" t="s">
        <v>22</v>
      </c>
      <c r="O68" s="92">
        <f>Q68/P68</f>
        <v>0.11931330472103005</v>
      </c>
      <c r="P68" s="17">
        <v>233</v>
      </c>
      <c r="Q68" s="53" t="s">
        <v>108</v>
      </c>
      <c r="R68" s="12" t="s">
        <v>1</v>
      </c>
      <c r="S68" s="13">
        <v>21525</v>
      </c>
      <c r="T68" s="14">
        <f>Q68*S68</f>
        <v>598395</v>
      </c>
    </row>
    <row r="69" spans="1:20" s="117" customFormat="1" ht="15" customHeight="1">
      <c r="A69" s="356" t="s">
        <v>249</v>
      </c>
      <c r="B69" s="111" t="s">
        <v>11</v>
      </c>
      <c r="C69" s="112">
        <f>E69/D69</f>
        <v>0.1206140350877193</v>
      </c>
      <c r="D69" s="38">
        <v>228</v>
      </c>
      <c r="E69" s="184">
        <v>27.5</v>
      </c>
      <c r="F69" s="113" t="s">
        <v>1</v>
      </c>
      <c r="G69" s="114">
        <v>21000</v>
      </c>
      <c r="H69" s="115">
        <f>E69*G69</f>
        <v>577500</v>
      </c>
      <c r="I69" s="116"/>
      <c r="N69" s="38" t="s">
        <v>6</v>
      </c>
      <c r="O69" s="118">
        <f>Q69/P69</f>
        <v>6.5236051502145925E-2</v>
      </c>
      <c r="P69" s="38">
        <v>233</v>
      </c>
      <c r="Q69" s="119" t="s">
        <v>124</v>
      </c>
      <c r="R69" s="38" t="s">
        <v>1</v>
      </c>
      <c r="S69" s="120">
        <v>136500</v>
      </c>
      <c r="T69" s="121">
        <f>Q69*S69</f>
        <v>2074800</v>
      </c>
    </row>
    <row r="70" spans="1:20" s="117" customFormat="1" ht="15" customHeight="1">
      <c r="A70" s="357"/>
      <c r="B70" s="38" t="s">
        <v>42</v>
      </c>
      <c r="C70" s="38">
        <f>E70/D70</f>
        <v>5.8333333333333334E-2</v>
      </c>
      <c r="D70" s="38">
        <v>228</v>
      </c>
      <c r="E70" s="163">
        <v>13.3</v>
      </c>
      <c r="F70" s="38" t="s">
        <v>1</v>
      </c>
      <c r="G70" s="120">
        <v>169560</v>
      </c>
      <c r="H70" s="121">
        <f>E70*G70</f>
        <v>2255148</v>
      </c>
      <c r="I70" s="124">
        <f>232*17000</f>
        <v>3944000</v>
      </c>
      <c r="N70" s="38" t="s">
        <v>34</v>
      </c>
      <c r="O70" s="118">
        <f t="shared" ref="O70:O71" si="3">Q70/P70</f>
        <v>3.004291845493562E-3</v>
      </c>
      <c r="P70" s="38">
        <v>233</v>
      </c>
      <c r="Q70" s="119" t="s">
        <v>35</v>
      </c>
      <c r="R70" s="38" t="s">
        <v>1</v>
      </c>
      <c r="S70" s="120">
        <v>306600</v>
      </c>
      <c r="T70" s="121">
        <f>Q70*S70</f>
        <v>214620</v>
      </c>
    </row>
    <row r="71" spans="1:20" s="117" customFormat="1" ht="19.2" customHeight="1">
      <c r="A71" s="358"/>
      <c r="B71" s="38" t="s">
        <v>43</v>
      </c>
      <c r="C71" s="38">
        <f t="shared" ref="C71:C73" si="4">E71/D71</f>
        <v>0.57456140350877194</v>
      </c>
      <c r="D71" s="38">
        <v>228</v>
      </c>
      <c r="E71" s="163">
        <v>131</v>
      </c>
      <c r="F71" s="38" t="s">
        <v>1</v>
      </c>
      <c r="G71" s="120">
        <v>3456</v>
      </c>
      <c r="H71" s="121">
        <f t="shared" ref="H71:H76" si="5">E71*G71</f>
        <v>452736</v>
      </c>
      <c r="I71" s="128">
        <f>I70-H78</f>
        <v>68000</v>
      </c>
      <c r="J71" s="117" t="s">
        <v>71</v>
      </c>
      <c r="K71" s="117">
        <v>22050</v>
      </c>
      <c r="L71" s="123">
        <f>K71*5</f>
        <v>110250</v>
      </c>
      <c r="M71" s="117" t="s">
        <v>88</v>
      </c>
      <c r="N71" s="38" t="s">
        <v>36</v>
      </c>
      <c r="O71" s="118">
        <f t="shared" si="3"/>
        <v>3.733905579399141E-2</v>
      </c>
      <c r="P71" s="38">
        <v>233</v>
      </c>
      <c r="Q71" s="119" t="s">
        <v>112</v>
      </c>
      <c r="R71" s="38" t="s">
        <v>1</v>
      </c>
      <c r="S71" s="120">
        <v>67200</v>
      </c>
      <c r="T71" s="121">
        <f>Q71*S71</f>
        <v>584640</v>
      </c>
    </row>
    <row r="72" spans="1:20" s="117" customFormat="1" ht="21.6" customHeight="1">
      <c r="A72" s="358"/>
      <c r="B72" s="38" t="s">
        <v>44</v>
      </c>
      <c r="C72" s="38">
        <f t="shared" si="4"/>
        <v>2.7192982456140352E-2</v>
      </c>
      <c r="D72" s="38">
        <v>228</v>
      </c>
      <c r="E72" s="163">
        <v>6.2</v>
      </c>
      <c r="F72" s="38" t="s">
        <v>1</v>
      </c>
      <c r="G72" s="120">
        <v>23100</v>
      </c>
      <c r="H72" s="121">
        <f t="shared" si="5"/>
        <v>143220</v>
      </c>
      <c r="J72" s="117" t="s">
        <v>39</v>
      </c>
      <c r="K72" s="117" t="s">
        <v>40</v>
      </c>
      <c r="L72" s="123">
        <f>136500*1</f>
        <v>136500</v>
      </c>
      <c r="N72" s="38" t="s">
        <v>72</v>
      </c>
      <c r="O72" s="38"/>
      <c r="P72" s="38">
        <v>233</v>
      </c>
      <c r="Q72" s="119"/>
      <c r="R72" s="38" t="s">
        <v>27</v>
      </c>
      <c r="S72" s="120">
        <v>1450</v>
      </c>
      <c r="T72" s="121">
        <f>184800+136500</f>
        <v>321300</v>
      </c>
    </row>
    <row r="73" spans="1:20" s="117" customFormat="1" ht="15" customHeight="1">
      <c r="A73" s="358"/>
      <c r="B73" s="38" t="s">
        <v>153</v>
      </c>
      <c r="C73" s="142">
        <f t="shared" si="4"/>
        <v>4.3859649122807015E-3</v>
      </c>
      <c r="D73" s="38">
        <v>228</v>
      </c>
      <c r="E73" s="163">
        <v>1</v>
      </c>
      <c r="F73" s="38" t="s">
        <v>4</v>
      </c>
      <c r="G73" s="120">
        <v>141750</v>
      </c>
      <c r="H73" s="121">
        <f t="shared" si="5"/>
        <v>141750</v>
      </c>
      <c r="I73" s="124">
        <f>231*17000</f>
        <v>3927000</v>
      </c>
      <c r="J73" s="117" t="s">
        <v>66</v>
      </c>
      <c r="K73" s="117">
        <v>60900</v>
      </c>
      <c r="L73" s="123">
        <f>K73*0.1</f>
        <v>6090</v>
      </c>
      <c r="N73" s="125" t="s">
        <v>25</v>
      </c>
      <c r="O73" s="125"/>
      <c r="P73" s="125"/>
      <c r="Q73" s="126"/>
      <c r="R73" s="127"/>
      <c r="S73" s="125"/>
      <c r="T73" s="121">
        <v>136716</v>
      </c>
    </row>
    <row r="74" spans="1:20" s="117" customFormat="1" ht="15" customHeight="1">
      <c r="A74" s="358"/>
      <c r="B74" s="38" t="s">
        <v>55</v>
      </c>
      <c r="C74" s="163"/>
      <c r="D74" s="38"/>
      <c r="E74" s="163">
        <v>0.1</v>
      </c>
      <c r="F74" s="38" t="s">
        <v>4</v>
      </c>
      <c r="G74" s="120">
        <v>36750</v>
      </c>
      <c r="H74" s="121">
        <f t="shared" si="5"/>
        <v>3675</v>
      </c>
      <c r="I74" s="128">
        <f>H78-I73</f>
        <v>-51000</v>
      </c>
      <c r="L74" s="123"/>
      <c r="N74" s="129"/>
      <c r="O74" s="129"/>
      <c r="P74" s="129"/>
      <c r="Q74" s="130"/>
      <c r="R74" s="131"/>
      <c r="S74" s="129"/>
      <c r="T74" s="132"/>
    </row>
    <row r="75" spans="1:20" s="117" customFormat="1" ht="15" customHeight="1">
      <c r="A75" s="358"/>
      <c r="B75" s="162" t="s">
        <v>154</v>
      </c>
      <c r="C75" s="163"/>
      <c r="D75" s="166"/>
      <c r="E75" s="185">
        <v>8.8000000000000007</v>
      </c>
      <c r="F75" s="38" t="s">
        <v>1</v>
      </c>
      <c r="G75" s="120">
        <v>18900</v>
      </c>
      <c r="H75" s="121">
        <f t="shared" si="5"/>
        <v>166320</v>
      </c>
      <c r="I75" s="128">
        <f>0.1*232</f>
        <v>23.200000000000003</v>
      </c>
      <c r="L75" s="123"/>
      <c r="N75" s="129"/>
      <c r="O75" s="129"/>
      <c r="P75" s="129"/>
      <c r="Q75" s="130"/>
      <c r="R75" s="131"/>
      <c r="S75" s="129"/>
      <c r="T75" s="132"/>
    </row>
    <row r="76" spans="1:20" s="117" customFormat="1" ht="15" customHeight="1">
      <c r="A76" s="358"/>
      <c r="B76" s="38" t="s">
        <v>12</v>
      </c>
      <c r="C76" s="38"/>
      <c r="D76" s="38"/>
      <c r="E76" s="163">
        <v>0.1</v>
      </c>
      <c r="F76" s="38" t="s">
        <v>1</v>
      </c>
      <c r="G76" s="120">
        <v>57750</v>
      </c>
      <c r="H76" s="121">
        <f t="shared" si="5"/>
        <v>5775</v>
      </c>
      <c r="I76" s="128"/>
      <c r="L76" s="123"/>
      <c r="N76" s="129"/>
      <c r="O76" s="129"/>
      <c r="P76" s="129"/>
      <c r="Q76" s="130"/>
      <c r="R76" s="131"/>
      <c r="S76" s="129"/>
      <c r="T76" s="132"/>
    </row>
    <row r="77" spans="1:20" s="117" customFormat="1" ht="15" customHeight="1">
      <c r="A77" s="358"/>
      <c r="B77" s="125" t="s">
        <v>25</v>
      </c>
      <c r="C77" s="125"/>
      <c r="D77" s="125"/>
      <c r="E77" s="126"/>
      <c r="F77" s="127"/>
      <c r="G77" s="125"/>
      <c r="H77" s="278">
        <f>130426-550</f>
        <v>129876</v>
      </c>
      <c r="L77" s="123"/>
      <c r="N77" s="129"/>
      <c r="O77" s="129"/>
      <c r="P77" s="129"/>
      <c r="Q77" s="130"/>
      <c r="R77" s="131"/>
      <c r="S77" s="129"/>
      <c r="T77" s="132"/>
    </row>
    <row r="78" spans="1:20" s="148" customFormat="1" ht="22.2" customHeight="1">
      <c r="A78" s="359"/>
      <c r="B78" s="298"/>
      <c r="C78" s="298"/>
      <c r="D78" s="298"/>
      <c r="E78" s="299"/>
      <c r="F78" s="300"/>
      <c r="G78" s="298"/>
      <c r="H78" s="301">
        <f>SUM(H69:H77)</f>
        <v>3876000</v>
      </c>
      <c r="I78" s="147">
        <f>H78-I73</f>
        <v>-51000</v>
      </c>
      <c r="J78" s="148" t="s">
        <v>114</v>
      </c>
      <c r="K78" s="147">
        <v>68040</v>
      </c>
      <c r="L78" s="147">
        <f>0.1*K78</f>
        <v>6804</v>
      </c>
    </row>
    <row r="79" spans="1:20" s="117" customFormat="1" ht="15" customHeight="1">
      <c r="A79" s="349" t="s">
        <v>250</v>
      </c>
      <c r="B79" s="111" t="s">
        <v>11</v>
      </c>
      <c r="C79" s="112">
        <f>E79/D79</f>
        <v>0.1206140350877193</v>
      </c>
      <c r="D79" s="38">
        <v>228</v>
      </c>
      <c r="E79" s="184">
        <v>27.5</v>
      </c>
      <c r="F79" s="113" t="s">
        <v>1</v>
      </c>
      <c r="G79" s="114">
        <v>21525</v>
      </c>
      <c r="H79" s="115">
        <f>E79*G79</f>
        <v>591937.5</v>
      </c>
      <c r="I79" s="182">
        <f>H78-I70</f>
        <v>-68000</v>
      </c>
      <c r="J79" s="128"/>
    </row>
    <row r="80" spans="1:20" s="117" customFormat="1" ht="15" customHeight="1">
      <c r="A80" s="350"/>
      <c r="B80" s="213" t="s">
        <v>6</v>
      </c>
      <c r="C80" s="38">
        <f>E80/D80</f>
        <v>7.1052631578947367E-2</v>
      </c>
      <c r="D80" s="38">
        <v>228</v>
      </c>
      <c r="E80" s="269">
        <v>16.2</v>
      </c>
      <c r="F80" s="38" t="s">
        <v>1</v>
      </c>
      <c r="G80" s="120">
        <v>141750</v>
      </c>
      <c r="H80" s="121">
        <f>E80*G80</f>
        <v>2296350</v>
      </c>
      <c r="I80" s="123">
        <f>228*17000</f>
        <v>3876000</v>
      </c>
      <c r="J80" s="124">
        <f>232*17000</f>
        <v>3944000</v>
      </c>
    </row>
    <row r="81" spans="1:17" s="117" customFormat="1" ht="15" customHeight="1">
      <c r="A81" s="350"/>
      <c r="B81" s="213" t="s">
        <v>34</v>
      </c>
      <c r="C81" s="38">
        <f t="shared" ref="C81:C82" si="6">E81/D81</f>
        <v>3.0701754385964912E-3</v>
      </c>
      <c r="D81" s="38">
        <v>228</v>
      </c>
      <c r="E81" s="273" t="s">
        <v>35</v>
      </c>
      <c r="F81" s="38" t="s">
        <v>1</v>
      </c>
      <c r="G81" s="120">
        <v>304500</v>
      </c>
      <c r="H81" s="121">
        <f t="shared" ref="H81:H85" si="7">E81*G81</f>
        <v>213150</v>
      </c>
    </row>
    <row r="82" spans="1:17" s="117" customFormat="1" ht="15" customHeight="1">
      <c r="A82" s="350"/>
      <c r="B82" s="213" t="s">
        <v>36</v>
      </c>
      <c r="C82" s="38">
        <f t="shared" si="6"/>
        <v>3.1271929824561402E-2</v>
      </c>
      <c r="D82" s="38">
        <v>228</v>
      </c>
      <c r="E82" s="273" t="s">
        <v>253</v>
      </c>
      <c r="F82" s="38" t="s">
        <v>1</v>
      </c>
      <c r="G82" s="120">
        <v>67200</v>
      </c>
      <c r="H82" s="121">
        <f t="shared" si="7"/>
        <v>479136</v>
      </c>
      <c r="I82" s="135">
        <f>I80-H87</f>
        <v>0.5</v>
      </c>
      <c r="K82" s="113" t="s">
        <v>22</v>
      </c>
      <c r="L82" s="140">
        <f>N82/M82</f>
        <v>0.11982758620689656</v>
      </c>
      <c r="M82" s="159">
        <v>232</v>
      </c>
      <c r="N82" s="187" t="s">
        <v>108</v>
      </c>
      <c r="O82" s="160" t="s">
        <v>1</v>
      </c>
      <c r="P82" s="141">
        <v>21525</v>
      </c>
      <c r="Q82" s="161">
        <f>N82*P82</f>
        <v>598395</v>
      </c>
    </row>
    <row r="83" spans="1:17" s="117" customFormat="1" ht="15" customHeight="1">
      <c r="A83" s="350"/>
      <c r="B83" s="38" t="s">
        <v>55</v>
      </c>
      <c r="C83" s="163"/>
      <c r="D83" s="38"/>
      <c r="E83" s="163">
        <v>0.1</v>
      </c>
      <c r="F83" s="38" t="s">
        <v>4</v>
      </c>
      <c r="G83" s="120">
        <v>36750</v>
      </c>
      <c r="H83" s="121">
        <f t="shared" si="7"/>
        <v>3675</v>
      </c>
      <c r="K83" s="162"/>
      <c r="L83" s="142"/>
      <c r="M83" s="164"/>
      <c r="N83" s="188"/>
      <c r="O83" s="38"/>
      <c r="P83" s="165"/>
      <c r="Q83" s="121"/>
    </row>
    <row r="84" spans="1:17" s="117" customFormat="1" ht="15" customHeight="1">
      <c r="A84" s="350"/>
      <c r="B84" s="162" t="s">
        <v>154</v>
      </c>
      <c r="C84" s="163"/>
      <c r="D84" s="166"/>
      <c r="E84" s="185">
        <v>8.3000000000000007</v>
      </c>
      <c r="F84" s="38" t="s">
        <v>1</v>
      </c>
      <c r="G84" s="120">
        <v>18900</v>
      </c>
      <c r="H84" s="121">
        <f t="shared" si="7"/>
        <v>156870</v>
      </c>
      <c r="K84" s="162" t="s">
        <v>53</v>
      </c>
      <c r="L84" s="142">
        <f t="shared" ref="L84:L86" si="8">N84/M84</f>
        <v>3.4482758620689655E-2</v>
      </c>
      <c r="M84" s="164">
        <v>232</v>
      </c>
      <c r="N84" s="188" t="s">
        <v>23</v>
      </c>
      <c r="O84" s="38" t="s">
        <v>1</v>
      </c>
      <c r="P84" s="165">
        <v>89250</v>
      </c>
      <c r="Q84" s="121">
        <f t="shared" ref="Q84:Q88" si="9">N84*P84</f>
        <v>714000</v>
      </c>
    </row>
    <row r="85" spans="1:17" s="117" customFormat="1" ht="15" customHeight="1">
      <c r="A85" s="350"/>
      <c r="B85" s="38" t="s">
        <v>12</v>
      </c>
      <c r="C85" s="38"/>
      <c r="D85" s="38"/>
      <c r="E85" s="163">
        <v>0.1</v>
      </c>
      <c r="F85" s="38" t="s">
        <v>1</v>
      </c>
      <c r="G85" s="120">
        <v>57750</v>
      </c>
      <c r="H85" s="121">
        <f t="shared" si="7"/>
        <v>5775</v>
      </c>
      <c r="K85" s="38" t="s">
        <v>153</v>
      </c>
      <c r="L85" s="142">
        <f t="shared" si="8"/>
        <v>4.3103448275862068E-3</v>
      </c>
      <c r="M85" s="164">
        <v>232</v>
      </c>
      <c r="N85" s="163">
        <v>1</v>
      </c>
      <c r="O85" s="38" t="s">
        <v>4</v>
      </c>
      <c r="P85" s="120">
        <v>137550</v>
      </c>
      <c r="Q85" s="121">
        <f t="shared" si="9"/>
        <v>137550</v>
      </c>
    </row>
    <row r="86" spans="1:17" s="117" customFormat="1" ht="15" customHeight="1">
      <c r="A86" s="351"/>
      <c r="B86" s="125" t="s">
        <v>25</v>
      </c>
      <c r="C86" s="125"/>
      <c r="D86" s="125"/>
      <c r="E86" s="126"/>
      <c r="F86" s="127"/>
      <c r="G86" s="125"/>
      <c r="H86" s="121">
        <f>130426-1319-1</f>
        <v>129106</v>
      </c>
      <c r="I86" s="117">
        <v>130426</v>
      </c>
      <c r="K86" s="38" t="s">
        <v>55</v>
      </c>
      <c r="L86" s="163">
        <f t="shared" si="8"/>
        <v>4.3103448275862074E-4</v>
      </c>
      <c r="M86" s="164">
        <v>232</v>
      </c>
      <c r="N86" s="163">
        <v>0.1</v>
      </c>
      <c r="O86" s="38" t="s">
        <v>4</v>
      </c>
      <c r="P86" s="120">
        <v>36750</v>
      </c>
      <c r="Q86" s="121">
        <f t="shared" si="9"/>
        <v>3675</v>
      </c>
    </row>
    <row r="87" spans="1:17" s="148" customFormat="1" ht="18.600000000000001" customHeight="1">
      <c r="A87" s="149"/>
      <c r="B87" s="150"/>
      <c r="C87" s="151"/>
      <c r="D87" s="151"/>
      <c r="E87" s="152"/>
      <c r="F87" s="153"/>
      <c r="G87" s="150"/>
      <c r="H87" s="154">
        <f>SUM(H79:H86)</f>
        <v>3875999.5</v>
      </c>
      <c r="I87" s="183">
        <f>H87-I80</f>
        <v>-0.5</v>
      </c>
      <c r="K87" s="162" t="s">
        <v>149</v>
      </c>
      <c r="L87" s="163"/>
      <c r="M87" s="166"/>
      <c r="N87" s="185">
        <v>6.7</v>
      </c>
      <c r="O87" s="38" t="s">
        <v>1</v>
      </c>
      <c r="P87" s="120">
        <v>24150</v>
      </c>
      <c r="Q87" s="121">
        <f t="shared" si="9"/>
        <v>161805</v>
      </c>
    </row>
    <row r="88" spans="1:17" s="232" customFormat="1" ht="15" customHeight="1">
      <c r="A88" s="241"/>
      <c r="B88" s="111" t="s">
        <v>22</v>
      </c>
      <c r="C88" s="264">
        <f>E88/D88</f>
        <v>0.12070484581497797</v>
      </c>
      <c r="D88" s="213">
        <v>227</v>
      </c>
      <c r="E88" s="187" t="s">
        <v>163</v>
      </c>
      <c r="F88" s="265" t="s">
        <v>1</v>
      </c>
      <c r="G88" s="266">
        <v>21000</v>
      </c>
      <c r="H88" s="267">
        <f>E88*G88</f>
        <v>575400</v>
      </c>
      <c r="I88" s="232">
        <f>4205303-3893000</f>
        <v>312303</v>
      </c>
      <c r="K88" s="38" t="s">
        <v>66</v>
      </c>
      <c r="L88" s="146"/>
      <c r="M88" s="38"/>
      <c r="N88" s="119" t="s">
        <v>46</v>
      </c>
      <c r="O88" s="38" t="s">
        <v>1</v>
      </c>
      <c r="P88" s="120">
        <v>57750</v>
      </c>
      <c r="Q88" s="121">
        <f t="shared" si="9"/>
        <v>5775</v>
      </c>
    </row>
    <row r="89" spans="1:17" s="232" customFormat="1" ht="15" customHeight="1">
      <c r="A89" s="360" t="s">
        <v>251</v>
      </c>
      <c r="B89" s="265" t="s">
        <v>184</v>
      </c>
      <c r="C89" s="268">
        <f t="shared" ref="C89:C91" si="10">E89/D89</f>
        <v>7.6651982378854622E-2</v>
      </c>
      <c r="D89" s="213">
        <v>227</v>
      </c>
      <c r="E89" s="187" t="s">
        <v>254</v>
      </c>
      <c r="F89" s="213" t="s">
        <v>1</v>
      </c>
      <c r="G89" s="266">
        <v>129150</v>
      </c>
      <c r="H89" s="271">
        <f>G89*E89</f>
        <v>2247210</v>
      </c>
      <c r="K89" s="167" t="s">
        <v>25</v>
      </c>
      <c r="L89" s="146"/>
      <c r="M89" s="168"/>
      <c r="N89" s="169"/>
      <c r="O89" s="164" t="s">
        <v>1</v>
      </c>
      <c r="P89" s="120"/>
      <c r="Q89" s="133">
        <f>130426+514</f>
        <v>130940</v>
      </c>
    </row>
    <row r="90" spans="1:17" s="232" customFormat="1" ht="19.2" customHeight="1">
      <c r="A90" s="360"/>
      <c r="B90" s="38" t="s">
        <v>153</v>
      </c>
      <c r="C90" s="142">
        <f t="shared" si="10"/>
        <v>4.4052863436123352E-3</v>
      </c>
      <c r="D90" s="164">
        <v>227</v>
      </c>
      <c r="E90" s="163">
        <v>1</v>
      </c>
      <c r="F90" s="38" t="s">
        <v>4</v>
      </c>
      <c r="G90" s="120">
        <v>141750</v>
      </c>
      <c r="H90" s="121">
        <f t="shared" ref="H90" si="11">E90*G90</f>
        <v>141750</v>
      </c>
      <c r="I90" s="256">
        <f>232*17000</f>
        <v>3944000</v>
      </c>
      <c r="J90" s="231" t="e">
        <f>#REF!*15</f>
        <v>#REF!</v>
      </c>
      <c r="K90" s="231"/>
      <c r="L90" s="231"/>
    </row>
    <row r="91" spans="1:17" s="232" customFormat="1" ht="15" customHeight="1">
      <c r="A91" s="360"/>
      <c r="B91" s="213" t="s">
        <v>7</v>
      </c>
      <c r="C91" s="272">
        <f t="shared" si="10"/>
        <v>0.5770925110132159</v>
      </c>
      <c r="D91" s="213">
        <v>227</v>
      </c>
      <c r="E91" s="273" t="s">
        <v>185</v>
      </c>
      <c r="F91" s="213" t="s">
        <v>1</v>
      </c>
      <c r="G91" s="270">
        <v>3510</v>
      </c>
      <c r="H91" s="271">
        <f>E91*G91</f>
        <v>459810</v>
      </c>
      <c r="K91" s="231"/>
      <c r="L91" s="231"/>
    </row>
    <row r="92" spans="1:17" s="232" customFormat="1" ht="15" customHeight="1">
      <c r="A92" s="360"/>
      <c r="B92" s="213" t="s">
        <v>187</v>
      </c>
      <c r="C92" s="272"/>
      <c r="D92" s="213"/>
      <c r="E92" s="273" t="s">
        <v>48</v>
      </c>
      <c r="F92" s="213" t="s">
        <v>188</v>
      </c>
      <c r="G92" s="270">
        <v>37800</v>
      </c>
      <c r="H92" s="271">
        <f>E92*G92</f>
        <v>113400</v>
      </c>
      <c r="K92" s="231"/>
      <c r="L92" s="231"/>
    </row>
    <row r="93" spans="1:17" s="232" customFormat="1" ht="15" customHeight="1">
      <c r="A93" s="360"/>
      <c r="B93" s="213" t="s">
        <v>197</v>
      </c>
      <c r="C93" s="272"/>
      <c r="D93" s="213"/>
      <c r="E93" s="273" t="s">
        <v>26</v>
      </c>
      <c r="F93" s="213" t="s">
        <v>4</v>
      </c>
      <c r="G93" s="270">
        <v>44280</v>
      </c>
      <c r="H93" s="271">
        <f>E93*G93</f>
        <v>44280</v>
      </c>
      <c r="K93" s="231"/>
      <c r="L93" s="231"/>
    </row>
    <row r="94" spans="1:17" s="232" customFormat="1" ht="15" customHeight="1">
      <c r="A94" s="360"/>
      <c r="B94" s="213" t="s">
        <v>198</v>
      </c>
      <c r="C94" s="272"/>
      <c r="D94" s="213"/>
      <c r="E94" s="273" t="s">
        <v>255</v>
      </c>
      <c r="F94" s="213" t="s">
        <v>1</v>
      </c>
      <c r="G94" s="270">
        <v>24150</v>
      </c>
      <c r="H94" s="271">
        <f t="shared" ref="H94:H96" si="12">E94*G94</f>
        <v>130410.00000000001</v>
      </c>
      <c r="K94" s="12" t="s">
        <v>22</v>
      </c>
      <c r="L94" s="142">
        <f t="shared" ref="L94" si="13">N94/M94</f>
        <v>0.11982758620689656</v>
      </c>
      <c r="M94" s="17">
        <v>232</v>
      </c>
      <c r="N94" s="286" t="s">
        <v>108</v>
      </c>
      <c r="O94" s="12" t="s">
        <v>1</v>
      </c>
      <c r="P94" s="13">
        <v>21525</v>
      </c>
      <c r="Q94" s="14">
        <f>N94*P94</f>
        <v>598395</v>
      </c>
    </row>
    <row r="95" spans="1:17" s="232" customFormat="1" ht="15" customHeight="1">
      <c r="A95" s="360"/>
      <c r="B95" s="213" t="s">
        <v>41</v>
      </c>
      <c r="C95" s="268"/>
      <c r="D95" s="213"/>
      <c r="E95" s="273" t="s">
        <v>46</v>
      </c>
      <c r="F95" s="213" t="s">
        <v>4</v>
      </c>
      <c r="G95" s="120">
        <v>36750</v>
      </c>
      <c r="H95" s="121">
        <f t="shared" si="12"/>
        <v>3675</v>
      </c>
      <c r="K95" s="15"/>
      <c r="L95" s="142"/>
      <c r="M95" s="17"/>
      <c r="N95" s="303"/>
      <c r="O95" s="15"/>
      <c r="P95" s="40"/>
      <c r="Q95" s="16"/>
    </row>
    <row r="96" spans="1:17" s="232" customFormat="1" ht="15" customHeight="1">
      <c r="A96" s="360"/>
      <c r="B96" s="213" t="s">
        <v>12</v>
      </c>
      <c r="C96" s="216"/>
      <c r="D96" s="213"/>
      <c r="E96" s="274">
        <v>0.2</v>
      </c>
      <c r="F96" s="213" t="s">
        <v>1</v>
      </c>
      <c r="G96" s="120">
        <v>57750</v>
      </c>
      <c r="H96" s="121">
        <f t="shared" si="12"/>
        <v>11550</v>
      </c>
      <c r="I96" s="263">
        <f>227*17000</f>
        <v>3859000</v>
      </c>
      <c r="K96" s="38" t="s">
        <v>87</v>
      </c>
      <c r="L96" s="142">
        <f t="shared" ref="L96:L97" si="14">N96/M96</f>
        <v>7.1551724137931039E-2</v>
      </c>
      <c r="M96" s="17">
        <v>232</v>
      </c>
      <c r="N96" s="42">
        <v>16.600000000000001</v>
      </c>
      <c r="O96" s="38" t="s">
        <v>1</v>
      </c>
      <c r="P96" s="120">
        <v>140700</v>
      </c>
      <c r="Q96" s="121">
        <f>N96*P96-1892</f>
        <v>2333728</v>
      </c>
    </row>
    <row r="97" spans="1:17" s="232" customFormat="1" ht="15" customHeight="1">
      <c r="A97" s="360"/>
      <c r="B97" s="275" t="s">
        <v>25</v>
      </c>
      <c r="C97" s="275"/>
      <c r="D97" s="275"/>
      <c r="E97" s="276"/>
      <c r="F97" s="277"/>
      <c r="G97" s="275"/>
      <c r="H97" s="278">
        <f>130426+1089</f>
        <v>131515</v>
      </c>
      <c r="K97" s="38" t="s">
        <v>36</v>
      </c>
      <c r="L97" s="144">
        <f t="shared" si="14"/>
        <v>3.5344827586206891E-2</v>
      </c>
      <c r="M97" s="17">
        <v>232</v>
      </c>
      <c r="N97" s="287" t="s">
        <v>37</v>
      </c>
      <c r="O97" s="38" t="s">
        <v>1</v>
      </c>
      <c r="P97" s="120">
        <v>67200</v>
      </c>
      <c r="Q97" s="121">
        <f>N97*P97</f>
        <v>551040</v>
      </c>
    </row>
    <row r="98" spans="1:17" s="134" customFormat="1" ht="20.399999999999999" customHeight="1">
      <c r="A98" s="218"/>
      <c r="B98" s="20"/>
      <c r="C98" s="20"/>
      <c r="D98" s="20"/>
      <c r="E98" s="56"/>
      <c r="F98" s="21"/>
      <c r="G98" s="20"/>
      <c r="H98" s="5">
        <f>SUM(H88:H97)</f>
        <v>3859000</v>
      </c>
      <c r="I98" s="217">
        <f>H98-I96</f>
        <v>0</v>
      </c>
      <c r="K98" s="17" t="s">
        <v>44</v>
      </c>
      <c r="L98" s="17"/>
      <c r="M98" s="17">
        <v>232</v>
      </c>
      <c r="N98" s="302">
        <v>3.1</v>
      </c>
      <c r="O98" s="17" t="s">
        <v>1</v>
      </c>
      <c r="P98" s="19">
        <v>21000</v>
      </c>
      <c r="Q98" s="19">
        <f>N98*P98</f>
        <v>65100</v>
      </c>
    </row>
    <row r="99" spans="1:17" s="134" customFormat="1" ht="20.399999999999999" customHeight="1">
      <c r="A99" s="353" t="s">
        <v>252</v>
      </c>
      <c r="B99" s="113" t="s">
        <v>22</v>
      </c>
      <c r="C99" s="140">
        <f>E99/D99</f>
        <v>0.12070484581497797</v>
      </c>
      <c r="D99" s="213">
        <v>227</v>
      </c>
      <c r="E99" s="186" t="s">
        <v>163</v>
      </c>
      <c r="F99" s="113" t="s">
        <v>1</v>
      </c>
      <c r="G99" s="141">
        <v>21000</v>
      </c>
      <c r="H99" s="115">
        <f>E99*G99</f>
        <v>575400</v>
      </c>
      <c r="I99" s="217"/>
      <c r="K99" s="17" t="s">
        <v>45</v>
      </c>
      <c r="L99" s="17"/>
      <c r="M99" s="17">
        <v>232</v>
      </c>
      <c r="N99" s="192">
        <v>1</v>
      </c>
      <c r="O99" s="17" t="s">
        <v>1</v>
      </c>
      <c r="P99" s="19">
        <v>164850</v>
      </c>
      <c r="Q99" s="19">
        <f t="shared" ref="Q99:Q102" si="15">N99*P99</f>
        <v>164850</v>
      </c>
    </row>
    <row r="100" spans="1:17" s="134" customFormat="1" ht="20.399999999999999" customHeight="1">
      <c r="A100" s="354"/>
      <c r="B100" s="38" t="s">
        <v>87</v>
      </c>
      <c r="C100" s="142">
        <f t="shared" ref="C100:C101" si="16">E100/D100</f>
        <v>6.6079295154185022E-2</v>
      </c>
      <c r="D100" s="213">
        <v>227</v>
      </c>
      <c r="E100" s="143">
        <v>15</v>
      </c>
      <c r="F100" s="38" t="s">
        <v>1</v>
      </c>
      <c r="G100" s="120">
        <v>140700</v>
      </c>
      <c r="H100" s="121">
        <f>E100*G100-1892</f>
        <v>2108608</v>
      </c>
      <c r="I100" s="217"/>
      <c r="J100" s="134">
        <f>231-2</f>
        <v>229</v>
      </c>
      <c r="K100" s="17" t="s">
        <v>14</v>
      </c>
      <c r="L100" s="17"/>
      <c r="M100" s="17"/>
      <c r="N100" s="302">
        <v>4.3</v>
      </c>
      <c r="O100" s="17" t="s">
        <v>1</v>
      </c>
      <c r="P100" s="18">
        <v>21000</v>
      </c>
      <c r="Q100" s="19">
        <f t="shared" si="15"/>
        <v>90300</v>
      </c>
    </row>
    <row r="101" spans="1:17" s="134" customFormat="1" ht="20.399999999999999" customHeight="1">
      <c r="A101" s="354"/>
      <c r="B101" s="38" t="s">
        <v>256</v>
      </c>
      <c r="C101" s="144">
        <f t="shared" si="16"/>
        <v>3.9647577092511016E-2</v>
      </c>
      <c r="D101" s="164">
        <v>227</v>
      </c>
      <c r="E101" s="287" t="s">
        <v>145</v>
      </c>
      <c r="F101" s="38" t="s">
        <v>1</v>
      </c>
      <c r="G101" s="120">
        <v>78750</v>
      </c>
      <c r="H101" s="121">
        <f>E101*G101</f>
        <v>708750</v>
      </c>
      <c r="I101" s="217"/>
      <c r="K101" s="17" t="s">
        <v>12</v>
      </c>
      <c r="L101" s="17"/>
      <c r="M101" s="17"/>
      <c r="N101" s="287" t="s">
        <v>46</v>
      </c>
      <c r="O101" s="17" t="s">
        <v>1</v>
      </c>
      <c r="P101" s="120">
        <v>57750</v>
      </c>
      <c r="Q101" s="121">
        <f t="shared" si="15"/>
        <v>5775</v>
      </c>
    </row>
    <row r="102" spans="1:17" s="134" customFormat="1" ht="20.399999999999999" customHeight="1">
      <c r="A102" s="354"/>
      <c r="B102" s="38" t="s">
        <v>45</v>
      </c>
      <c r="C102" s="144"/>
      <c r="D102" s="213">
        <v>227</v>
      </c>
      <c r="E102" s="119" t="s">
        <v>26</v>
      </c>
      <c r="F102" s="38" t="s">
        <v>1</v>
      </c>
      <c r="G102" s="120">
        <v>168000</v>
      </c>
      <c r="H102" s="121">
        <f t="shared" ref="H102:H106" si="17">E102*G102</f>
        <v>168000</v>
      </c>
      <c r="I102" s="217">
        <f>227*17000</f>
        <v>3859000</v>
      </c>
      <c r="K102" s="20" t="s">
        <v>41</v>
      </c>
      <c r="L102" s="35"/>
      <c r="M102" s="17"/>
      <c r="N102" s="288" t="s">
        <v>46</v>
      </c>
      <c r="O102" s="17" t="s">
        <v>1</v>
      </c>
      <c r="P102" s="120">
        <v>36750</v>
      </c>
      <c r="Q102" s="121">
        <f t="shared" si="15"/>
        <v>3675</v>
      </c>
    </row>
    <row r="103" spans="1:17" s="134" customFormat="1" ht="20.399999999999999" customHeight="1">
      <c r="A103" s="354"/>
      <c r="B103" s="38" t="s">
        <v>257</v>
      </c>
      <c r="C103" s="144"/>
      <c r="D103" s="164">
        <v>227</v>
      </c>
      <c r="E103" s="119" t="s">
        <v>259</v>
      </c>
      <c r="F103" s="38" t="s">
        <v>4</v>
      </c>
      <c r="G103" s="120">
        <v>21000</v>
      </c>
      <c r="H103" s="121">
        <f t="shared" si="17"/>
        <v>102900.00000000001</v>
      </c>
      <c r="I103" s="217"/>
      <c r="K103" s="20" t="s">
        <v>25</v>
      </c>
      <c r="L103" s="20"/>
      <c r="M103" s="20"/>
      <c r="N103" s="56"/>
      <c r="O103" s="21"/>
      <c r="P103" s="20"/>
      <c r="Q103" s="285">
        <f>130426+711</f>
        <v>131137</v>
      </c>
    </row>
    <row r="104" spans="1:17" s="134" customFormat="1" ht="20.399999999999999" customHeight="1">
      <c r="A104" s="354"/>
      <c r="B104" s="38" t="s">
        <v>258</v>
      </c>
      <c r="C104" s="171"/>
      <c r="D104" s="164"/>
      <c r="E104" s="119" t="s">
        <v>189</v>
      </c>
      <c r="F104" s="38" t="s">
        <v>4</v>
      </c>
      <c r="G104" s="120">
        <v>26250</v>
      </c>
      <c r="H104" s="121">
        <f t="shared" si="17"/>
        <v>52500</v>
      </c>
      <c r="I104" s="217"/>
      <c r="K104" s="35"/>
      <c r="L104" s="35"/>
      <c r="M104" s="35"/>
      <c r="N104" s="55"/>
      <c r="O104" s="305"/>
      <c r="P104" s="35"/>
      <c r="Q104" s="285"/>
    </row>
    <row r="105" spans="1:17" s="134" customFormat="1" ht="20.399999999999999" customHeight="1">
      <c r="A105" s="354"/>
      <c r="B105" s="38" t="s">
        <v>66</v>
      </c>
      <c r="C105" s="146"/>
      <c r="D105" s="38"/>
      <c r="E105" s="119" t="s">
        <v>46</v>
      </c>
      <c r="F105" s="38" t="s">
        <v>1</v>
      </c>
      <c r="G105" s="120">
        <v>60900</v>
      </c>
      <c r="H105" s="121">
        <f t="shared" si="17"/>
        <v>6090</v>
      </c>
      <c r="I105" s="217">
        <f>H108-I102</f>
        <v>0</v>
      </c>
      <c r="K105" s="213" t="s">
        <v>36</v>
      </c>
      <c r="L105" s="272">
        <f t="shared" ref="L105:L106" si="18">N105/M105</f>
        <v>3.9301310043668124E-2</v>
      </c>
      <c r="M105" s="213">
        <v>229</v>
      </c>
      <c r="N105" s="273" t="s">
        <v>145</v>
      </c>
      <c r="O105" s="213" t="s">
        <v>1</v>
      </c>
      <c r="P105" s="270">
        <v>67200</v>
      </c>
      <c r="Q105" s="271">
        <f>N105*P105</f>
        <v>604800</v>
      </c>
    </row>
    <row r="106" spans="1:17" s="134" customFormat="1" ht="20.399999999999999" customHeight="1">
      <c r="A106" s="354"/>
      <c r="B106" s="38" t="s">
        <v>82</v>
      </c>
      <c r="C106" s="125"/>
      <c r="D106" s="38"/>
      <c r="E106" s="119" t="s">
        <v>46</v>
      </c>
      <c r="F106" s="38" t="s">
        <v>1</v>
      </c>
      <c r="G106" s="120">
        <v>42000</v>
      </c>
      <c r="H106" s="121">
        <f t="shared" si="17"/>
        <v>4200</v>
      </c>
      <c r="I106" s="217"/>
      <c r="K106" s="213" t="s">
        <v>94</v>
      </c>
      <c r="L106" s="272">
        <f t="shared" si="18"/>
        <v>3.2314410480349345E-2</v>
      </c>
      <c r="M106" s="213">
        <v>229</v>
      </c>
      <c r="N106" s="273" t="s">
        <v>139</v>
      </c>
      <c r="O106" s="213" t="s">
        <v>1</v>
      </c>
      <c r="P106" s="270">
        <v>22050</v>
      </c>
      <c r="Q106" s="271">
        <f t="shared" ref="Q106" si="19">N106*P106</f>
        <v>163170</v>
      </c>
    </row>
    <row r="107" spans="1:17" s="134" customFormat="1" ht="20.399999999999999" customHeight="1">
      <c r="A107" s="289"/>
      <c r="B107" s="275" t="s">
        <v>25</v>
      </c>
      <c r="C107" s="275"/>
      <c r="D107" s="275"/>
      <c r="E107" s="276"/>
      <c r="F107" s="277"/>
      <c r="G107" s="275"/>
      <c r="H107" s="278">
        <f>130426+2126</f>
        <v>132552</v>
      </c>
      <c r="I107" s="217"/>
      <c r="K107" s="290"/>
      <c r="L107" s="272"/>
      <c r="M107" s="290"/>
      <c r="N107" s="291"/>
      <c r="O107" s="290"/>
      <c r="P107" s="292"/>
      <c r="Q107" s="293"/>
    </row>
    <row r="108" spans="1:17" s="134" customFormat="1" ht="20.399999999999999" customHeight="1">
      <c r="A108" s="218"/>
      <c r="B108" s="294"/>
      <c r="C108" s="220"/>
      <c r="D108" s="294"/>
      <c r="E108" s="295"/>
      <c r="F108" s="294"/>
      <c r="G108" s="296"/>
      <c r="H108" s="297">
        <f>SUM(H99:H107)</f>
        <v>3859000</v>
      </c>
      <c r="I108" s="217">
        <f>H108-I102</f>
        <v>0</v>
      </c>
      <c r="K108" s="275" t="s">
        <v>25</v>
      </c>
      <c r="L108" s="275"/>
      <c r="M108" s="275"/>
      <c r="N108" s="276"/>
      <c r="O108" s="277"/>
      <c r="P108" s="275"/>
      <c r="Q108" s="278">
        <f>136716+1538</f>
        <v>138254</v>
      </c>
    </row>
    <row r="109" spans="1:17" s="134" customFormat="1" ht="15" customHeight="1">
      <c r="A109" s="346" t="s">
        <v>260</v>
      </c>
      <c r="B109" s="98" t="s">
        <v>11</v>
      </c>
      <c r="C109" s="100">
        <f>E109/D109</f>
        <v>0.12070484581497797</v>
      </c>
      <c r="D109" s="213">
        <v>227</v>
      </c>
      <c r="E109" s="186" t="s">
        <v>163</v>
      </c>
      <c r="F109" s="113" t="s">
        <v>1</v>
      </c>
      <c r="G109" s="141">
        <v>21000</v>
      </c>
      <c r="H109" s="115">
        <f>E109*G109</f>
        <v>575400</v>
      </c>
      <c r="I109" s="284"/>
      <c r="J109" s="217"/>
    </row>
    <row r="110" spans="1:17" s="134" customFormat="1" ht="15" customHeight="1">
      <c r="A110" s="346"/>
      <c r="B110" s="17" t="s">
        <v>129</v>
      </c>
      <c r="C110" s="101">
        <f>E110/D110</f>
        <v>0.11674008810572688</v>
      </c>
      <c r="D110" s="17">
        <v>227</v>
      </c>
      <c r="E110" s="17">
        <v>26.5</v>
      </c>
      <c r="F110" s="17" t="s">
        <v>1</v>
      </c>
      <c r="G110" s="18">
        <v>86100</v>
      </c>
      <c r="H110" s="19">
        <f>G110*E110</f>
        <v>2281650</v>
      </c>
      <c r="J110" s="280"/>
    </row>
    <row r="111" spans="1:17" s="134" customFormat="1" ht="15" customHeight="1">
      <c r="A111" s="346"/>
      <c r="B111" s="213" t="s">
        <v>7</v>
      </c>
      <c r="C111" s="272">
        <f t="shared" ref="C111:C112" si="20">E111/D111</f>
        <v>0.5770925110132159</v>
      </c>
      <c r="D111" s="213">
        <v>227</v>
      </c>
      <c r="E111" s="273" t="s">
        <v>185</v>
      </c>
      <c r="F111" s="213" t="s">
        <v>1</v>
      </c>
      <c r="G111" s="270">
        <v>3510</v>
      </c>
      <c r="H111" s="271">
        <f>E111*G111</f>
        <v>459810</v>
      </c>
    </row>
    <row r="112" spans="1:17" s="134" customFormat="1" ht="15" customHeight="1">
      <c r="A112" s="346"/>
      <c r="B112" s="38" t="s">
        <v>153</v>
      </c>
      <c r="C112" s="142">
        <f t="shared" si="20"/>
        <v>4.4052863436123352E-3</v>
      </c>
      <c r="D112" s="164">
        <v>227</v>
      </c>
      <c r="E112" s="163">
        <v>1</v>
      </c>
      <c r="F112" s="38" t="s">
        <v>4</v>
      </c>
      <c r="G112" s="120">
        <v>141750</v>
      </c>
      <c r="H112" s="121">
        <f t="shared" ref="H112" si="21">E112*G112</f>
        <v>141750</v>
      </c>
    </row>
    <row r="113" spans="1:13" s="134" customFormat="1" ht="15" customHeight="1">
      <c r="A113" s="279"/>
      <c r="B113" s="213" t="s">
        <v>187</v>
      </c>
      <c r="C113" s="272"/>
      <c r="D113" s="213"/>
      <c r="E113" s="273" t="s">
        <v>48</v>
      </c>
      <c r="F113" s="213" t="s">
        <v>188</v>
      </c>
      <c r="G113" s="270">
        <v>37800</v>
      </c>
      <c r="H113" s="271">
        <f>E113*G113</f>
        <v>113400</v>
      </c>
    </row>
    <row r="114" spans="1:13" s="134" customFormat="1" ht="15" customHeight="1">
      <c r="A114" s="279"/>
      <c r="B114" s="213" t="s">
        <v>198</v>
      </c>
      <c r="C114" s="272"/>
      <c r="D114" s="213"/>
      <c r="E114" s="273" t="s">
        <v>107</v>
      </c>
      <c r="F114" s="213" t="s">
        <v>1</v>
      </c>
      <c r="G114" s="270">
        <v>24150</v>
      </c>
      <c r="H114" s="271">
        <f t="shared" ref="H114:H116" si="22">E114*G114</f>
        <v>147315</v>
      </c>
    </row>
    <row r="115" spans="1:13" s="134" customFormat="1" ht="15" customHeight="1">
      <c r="A115" s="279"/>
      <c r="B115" s="213" t="s">
        <v>41</v>
      </c>
      <c r="C115" s="268"/>
      <c r="D115" s="213"/>
      <c r="E115" s="273" t="s">
        <v>46</v>
      </c>
      <c r="F115" s="213" t="s">
        <v>4</v>
      </c>
      <c r="G115" s="120">
        <v>36750</v>
      </c>
      <c r="H115" s="121">
        <f t="shared" si="22"/>
        <v>3675</v>
      </c>
    </row>
    <row r="116" spans="1:13" s="134" customFormat="1" ht="15" customHeight="1">
      <c r="A116" s="279"/>
      <c r="B116" s="213" t="s">
        <v>12</v>
      </c>
      <c r="C116" s="216"/>
      <c r="D116" s="213"/>
      <c r="E116" s="274">
        <v>0.1</v>
      </c>
      <c r="F116" s="213" t="s">
        <v>1</v>
      </c>
      <c r="G116" s="120">
        <v>57750</v>
      </c>
      <c r="H116" s="121">
        <f t="shared" si="22"/>
        <v>5775</v>
      </c>
    </row>
    <row r="117" spans="1:13" s="134" customFormat="1" ht="15" customHeight="1">
      <c r="A117" s="279"/>
      <c r="B117" s="275" t="s">
        <v>25</v>
      </c>
      <c r="C117" s="275"/>
      <c r="D117" s="275"/>
      <c r="E117" s="276"/>
      <c r="F117" s="277"/>
      <c r="G117" s="275"/>
      <c r="H117" s="278">
        <f>130426-201</f>
        <v>130225</v>
      </c>
    </row>
    <row r="118" spans="1:13" s="155" customFormat="1" ht="19.8" customHeight="1">
      <c r="A118" s="222"/>
      <c r="B118" s="175"/>
      <c r="C118" s="175"/>
      <c r="D118" s="175"/>
      <c r="E118" s="223"/>
      <c r="F118" s="224"/>
      <c r="G118" s="175"/>
      <c r="H118" s="225">
        <f>SUM(H109:H117)</f>
        <v>3859000</v>
      </c>
      <c r="I118" s="183">
        <f>227*17000</f>
        <v>3859000</v>
      </c>
      <c r="J118" s="183">
        <f>H118-J110</f>
        <v>3859000</v>
      </c>
      <c r="M118" s="134"/>
    </row>
    <row r="119" spans="1:13">
      <c r="A119" s="107"/>
      <c r="B119" s="107"/>
      <c r="C119" s="107"/>
      <c r="D119" s="107"/>
      <c r="E119" s="108"/>
    </row>
    <row r="120" spans="1:13" ht="18">
      <c r="A120" s="347" t="s">
        <v>28</v>
      </c>
      <c r="B120" s="347"/>
      <c r="C120" s="347" t="s">
        <v>29</v>
      </c>
      <c r="D120" s="347"/>
      <c r="E120" s="347"/>
      <c r="F120" s="1"/>
      <c r="G120" s="347" t="s">
        <v>30</v>
      </c>
      <c r="H120" s="347"/>
    </row>
    <row r="136" spans="1:20" ht="15.6">
      <c r="A136" s="6" t="s">
        <v>0</v>
      </c>
      <c r="B136" s="6"/>
    </row>
    <row r="137" spans="1:20" s="110" customFormat="1" ht="16.8" customHeight="1">
      <c r="A137" s="347" t="s">
        <v>236</v>
      </c>
      <c r="B137" s="347"/>
      <c r="C137" s="347"/>
      <c r="D137" s="347"/>
      <c r="E137" s="347"/>
      <c r="F137" s="347"/>
      <c r="G137" s="347"/>
      <c r="H137" s="347"/>
      <c r="I137" s="181">
        <f>1996200/15</f>
        <v>133080</v>
      </c>
    </row>
    <row r="138" spans="1:20" s="110" customFormat="1" ht="16.8" customHeight="1">
      <c r="A138" s="109"/>
      <c r="B138" s="348" t="s">
        <v>239</v>
      </c>
      <c r="C138" s="348"/>
      <c r="D138" s="348"/>
      <c r="E138" s="348"/>
      <c r="F138" s="348"/>
      <c r="G138" s="348"/>
      <c r="H138" s="348"/>
    </row>
    <row r="139" spans="1:20" ht="15" customHeight="1">
      <c r="A139" s="7" t="s">
        <v>15</v>
      </c>
      <c r="B139" s="8" t="s">
        <v>16</v>
      </c>
      <c r="C139" s="9" t="s">
        <v>17</v>
      </c>
      <c r="D139" s="10" t="s">
        <v>18</v>
      </c>
      <c r="E139" s="45" t="s">
        <v>19</v>
      </c>
      <c r="F139" s="11" t="s">
        <v>5</v>
      </c>
      <c r="G139" s="7" t="s">
        <v>20</v>
      </c>
      <c r="H139" s="7" t="s">
        <v>21</v>
      </c>
      <c r="K139">
        <f>225*17000</f>
        <v>3825000</v>
      </c>
      <c r="L139" t="s">
        <v>33</v>
      </c>
      <c r="N139" s="12" t="s">
        <v>22</v>
      </c>
      <c r="O139" s="92">
        <f>Q139/P139</f>
        <v>0.11931330472103005</v>
      </c>
      <c r="P139" s="17">
        <v>233</v>
      </c>
      <c r="Q139" s="53" t="s">
        <v>108</v>
      </c>
      <c r="R139" s="12" t="s">
        <v>1</v>
      </c>
      <c r="S139" s="13">
        <v>21525</v>
      </c>
      <c r="T139" s="14">
        <f>Q139*S139</f>
        <v>598395</v>
      </c>
    </row>
    <row r="140" spans="1:20" s="117" customFormat="1" ht="15" customHeight="1">
      <c r="A140" s="356" t="s">
        <v>240</v>
      </c>
      <c r="B140" s="98" t="s">
        <v>11</v>
      </c>
      <c r="C140" s="100">
        <f>E140/D140</f>
        <v>0.11991341991341992</v>
      </c>
      <c r="D140" s="12">
        <v>231</v>
      </c>
      <c r="E140" s="98">
        <v>27.7</v>
      </c>
      <c r="F140" s="12" t="s">
        <v>1</v>
      </c>
      <c r="G140" s="99">
        <v>21525</v>
      </c>
      <c r="H140" s="14">
        <f>G140*E140</f>
        <v>596242.5</v>
      </c>
      <c r="I140" s="116"/>
      <c r="N140" s="38" t="s">
        <v>6</v>
      </c>
      <c r="O140" s="118">
        <f>Q140/P140</f>
        <v>6.5236051502145925E-2</v>
      </c>
      <c r="P140" s="38">
        <v>233</v>
      </c>
      <c r="Q140" s="119" t="s">
        <v>124</v>
      </c>
      <c r="R140" s="38" t="s">
        <v>1</v>
      </c>
      <c r="S140" s="120">
        <v>136500</v>
      </c>
      <c r="T140" s="121">
        <f>Q140*S140</f>
        <v>2074800</v>
      </c>
    </row>
    <row r="141" spans="1:20" s="117" customFormat="1" ht="15" customHeight="1">
      <c r="A141" s="357"/>
      <c r="B141" s="17" t="s">
        <v>129</v>
      </c>
      <c r="C141" s="101">
        <f>E141/D141</f>
        <v>0.11038961038961038</v>
      </c>
      <c r="D141" s="17">
        <v>231</v>
      </c>
      <c r="E141" s="17">
        <v>25.5</v>
      </c>
      <c r="F141" s="17" t="s">
        <v>1</v>
      </c>
      <c r="G141" s="18">
        <v>86100</v>
      </c>
      <c r="H141" s="19">
        <f>G141*E141</f>
        <v>2195550</v>
      </c>
      <c r="I141" s="124">
        <f>232*17000</f>
        <v>3944000</v>
      </c>
      <c r="N141" s="38" t="s">
        <v>34</v>
      </c>
      <c r="O141" s="118">
        <f t="shared" ref="O141:O142" si="23">Q141/P141</f>
        <v>3.004291845493562E-3</v>
      </c>
      <c r="P141" s="38">
        <v>233</v>
      </c>
      <c r="Q141" s="119" t="s">
        <v>35</v>
      </c>
      <c r="R141" s="38" t="s">
        <v>1</v>
      </c>
      <c r="S141" s="120">
        <v>306600</v>
      </c>
      <c r="T141" s="121">
        <f>Q141*S141</f>
        <v>214620</v>
      </c>
    </row>
    <row r="142" spans="1:20" s="117" customFormat="1" ht="19.2" customHeight="1">
      <c r="A142" s="358"/>
      <c r="B142" s="17" t="s">
        <v>130</v>
      </c>
      <c r="C142" s="101">
        <f t="shared" ref="C142:C145" si="24">E142/D142</f>
        <v>3.67965367965368E-2</v>
      </c>
      <c r="D142" s="17">
        <v>231</v>
      </c>
      <c r="E142" s="17">
        <v>8.5</v>
      </c>
      <c r="F142" s="17" t="s">
        <v>1</v>
      </c>
      <c r="G142" s="18">
        <v>67200</v>
      </c>
      <c r="H142" s="19">
        <f t="shared" ref="H142:H145" si="25">G142*E142</f>
        <v>571200</v>
      </c>
      <c r="I142" s="128">
        <f>I141-H150</f>
        <v>17000.5</v>
      </c>
      <c r="J142" s="117" t="s">
        <v>71</v>
      </c>
      <c r="K142" s="117">
        <v>22050</v>
      </c>
      <c r="L142" s="123">
        <f>K142*5</f>
        <v>110250</v>
      </c>
      <c r="M142" s="117" t="s">
        <v>88</v>
      </c>
      <c r="N142" s="38" t="s">
        <v>36</v>
      </c>
      <c r="O142" s="118">
        <f t="shared" si="23"/>
        <v>3.733905579399141E-2</v>
      </c>
      <c r="P142" s="38">
        <v>233</v>
      </c>
      <c r="Q142" s="119" t="s">
        <v>112</v>
      </c>
      <c r="R142" s="38" t="s">
        <v>1</v>
      </c>
      <c r="S142" s="120">
        <v>67200</v>
      </c>
      <c r="T142" s="121">
        <f>Q142*S142</f>
        <v>584640</v>
      </c>
    </row>
    <row r="143" spans="1:20" s="117" customFormat="1" ht="21.6" customHeight="1">
      <c r="A143" s="358"/>
      <c r="B143" s="17" t="s">
        <v>78</v>
      </c>
      <c r="C143" s="101">
        <f t="shared" si="24"/>
        <v>1.2987012987012988E-2</v>
      </c>
      <c r="D143" s="17">
        <v>231</v>
      </c>
      <c r="E143" s="54" t="s">
        <v>48</v>
      </c>
      <c r="F143" s="17" t="s">
        <v>1</v>
      </c>
      <c r="G143" s="18">
        <v>78750</v>
      </c>
      <c r="H143" s="19">
        <f t="shared" si="25"/>
        <v>236250</v>
      </c>
      <c r="J143" s="117" t="s">
        <v>39</v>
      </c>
      <c r="K143" s="117" t="s">
        <v>40</v>
      </c>
      <c r="L143" s="123">
        <f>136500*1</f>
        <v>136500</v>
      </c>
      <c r="N143" s="38" t="s">
        <v>72</v>
      </c>
      <c r="O143" s="38"/>
      <c r="P143" s="38">
        <v>233</v>
      </c>
      <c r="Q143" s="119"/>
      <c r="R143" s="38" t="s">
        <v>27</v>
      </c>
      <c r="S143" s="120">
        <v>1450</v>
      </c>
      <c r="T143" s="121">
        <f>184800+136500</f>
        <v>321300</v>
      </c>
    </row>
    <row r="144" spans="1:20" s="117" customFormat="1" ht="15" customHeight="1">
      <c r="A144" s="358"/>
      <c r="B144" s="17" t="s">
        <v>79</v>
      </c>
      <c r="C144" s="101">
        <f t="shared" si="24"/>
        <v>4.0259740259740266E-2</v>
      </c>
      <c r="D144" s="17">
        <v>231</v>
      </c>
      <c r="E144" s="54" t="s">
        <v>245</v>
      </c>
      <c r="F144" s="17" t="s">
        <v>1</v>
      </c>
      <c r="G144" s="18">
        <v>18900</v>
      </c>
      <c r="H144" s="19">
        <f t="shared" si="25"/>
        <v>175770</v>
      </c>
      <c r="I144" s="124">
        <f>231*17000</f>
        <v>3927000</v>
      </c>
      <c r="J144" s="117" t="s">
        <v>66</v>
      </c>
      <c r="K144" s="117">
        <v>60900</v>
      </c>
      <c r="L144" s="123">
        <f>K144*0.1</f>
        <v>6090</v>
      </c>
      <c r="N144" s="125" t="s">
        <v>25</v>
      </c>
      <c r="O144" s="125"/>
      <c r="P144" s="125"/>
      <c r="Q144" s="126"/>
      <c r="R144" s="127"/>
      <c r="S144" s="125"/>
      <c r="T144" s="121">
        <v>136716</v>
      </c>
    </row>
    <row r="145" spans="1:20" s="117" customFormat="1" ht="15" customHeight="1">
      <c r="A145" s="358"/>
      <c r="B145" s="17" t="s">
        <v>81</v>
      </c>
      <c r="C145" s="101">
        <f t="shared" si="24"/>
        <v>4.329004329004329E-4</v>
      </c>
      <c r="D145" s="17">
        <v>231</v>
      </c>
      <c r="E145" s="54" t="s">
        <v>46</v>
      </c>
      <c r="F145" s="17" t="s">
        <v>1</v>
      </c>
      <c r="G145" s="18">
        <v>63000</v>
      </c>
      <c r="H145" s="19">
        <f t="shared" si="25"/>
        <v>6300</v>
      </c>
      <c r="I145" s="128">
        <f>H150-I144</f>
        <v>-0.5</v>
      </c>
      <c r="L145" s="123"/>
      <c r="N145" s="129"/>
      <c r="O145" s="129"/>
      <c r="P145" s="129"/>
      <c r="Q145" s="130"/>
      <c r="R145" s="131"/>
      <c r="S145" s="129"/>
      <c r="T145" s="132"/>
    </row>
    <row r="146" spans="1:20" s="117" customFormat="1" ht="15" customHeight="1">
      <c r="A146" s="358"/>
      <c r="B146" s="17" t="s">
        <v>229</v>
      </c>
      <c r="C146" s="76"/>
      <c r="D146" s="17"/>
      <c r="E146" s="54" t="s">
        <v>46</v>
      </c>
      <c r="F146" s="68" t="s">
        <v>1</v>
      </c>
      <c r="G146" s="18">
        <v>47250</v>
      </c>
      <c r="H146" s="19">
        <f t="shared" ref="H146:H148" si="26">E146*G146</f>
        <v>4725</v>
      </c>
      <c r="I146" s="128">
        <f>0.1*232</f>
        <v>23.200000000000003</v>
      </c>
      <c r="L146" s="123"/>
      <c r="N146" s="129"/>
      <c r="O146" s="129"/>
      <c r="P146" s="129"/>
      <c r="Q146" s="130"/>
      <c r="R146" s="131"/>
      <c r="S146" s="129"/>
      <c r="T146" s="132"/>
    </row>
    <row r="147" spans="1:20" s="117" customFormat="1" ht="15" customHeight="1">
      <c r="A147" s="358"/>
      <c r="B147" s="38" t="s">
        <v>12</v>
      </c>
      <c r="C147" s="38"/>
      <c r="D147" s="38"/>
      <c r="E147" s="163">
        <v>0.1</v>
      </c>
      <c r="F147" s="38" t="s">
        <v>1</v>
      </c>
      <c r="G147" s="120">
        <v>57750</v>
      </c>
      <c r="H147" s="121">
        <f t="shared" si="26"/>
        <v>5775</v>
      </c>
      <c r="I147" s="128"/>
      <c r="L147" s="123"/>
      <c r="N147" s="129"/>
      <c r="O147" s="129"/>
      <c r="P147" s="129"/>
      <c r="Q147" s="130"/>
      <c r="R147" s="131"/>
      <c r="S147" s="129"/>
      <c r="T147" s="132"/>
    </row>
    <row r="148" spans="1:20" s="117" customFormat="1" ht="15" customHeight="1">
      <c r="A148" s="358"/>
      <c r="B148" s="38" t="s">
        <v>82</v>
      </c>
      <c r="C148" s="125"/>
      <c r="D148" s="38"/>
      <c r="E148" s="119" t="s">
        <v>46</v>
      </c>
      <c r="F148" s="38" t="s">
        <v>1</v>
      </c>
      <c r="G148" s="120">
        <v>42000</v>
      </c>
      <c r="H148" s="121">
        <f t="shared" si="26"/>
        <v>4200</v>
      </c>
      <c r="L148" s="123"/>
      <c r="N148" s="129"/>
      <c r="O148" s="129"/>
      <c r="P148" s="129"/>
      <c r="Q148" s="130"/>
      <c r="R148" s="131"/>
      <c r="S148" s="129"/>
      <c r="T148" s="132"/>
    </row>
    <row r="149" spans="1:20" s="117" customFormat="1" ht="15" customHeight="1">
      <c r="A149" s="358"/>
      <c r="B149" s="125" t="s">
        <v>25</v>
      </c>
      <c r="C149" s="125"/>
      <c r="D149" s="125"/>
      <c r="E149" s="126"/>
      <c r="F149" s="127"/>
      <c r="G149" s="125"/>
      <c r="H149" s="278">
        <f>130426+562-1</f>
        <v>130987</v>
      </c>
      <c r="J149" s="124">
        <v>128426</v>
      </c>
      <c r="L149" s="123"/>
      <c r="N149" s="129"/>
      <c r="O149" s="129"/>
      <c r="P149" s="129"/>
      <c r="Q149" s="130"/>
      <c r="R149" s="131"/>
      <c r="S149" s="129"/>
      <c r="T149" s="132"/>
    </row>
    <row r="150" spans="1:20" s="148" customFormat="1" ht="22.2" customHeight="1">
      <c r="A150" s="359"/>
      <c r="B150" s="298"/>
      <c r="C150" s="298"/>
      <c r="D150" s="298"/>
      <c r="E150" s="299"/>
      <c r="F150" s="300"/>
      <c r="G150" s="298"/>
      <c r="H150" s="301">
        <f>SUM(H140:H149)</f>
        <v>3926999.5</v>
      </c>
      <c r="I150" s="147">
        <f>H150-I144</f>
        <v>-0.5</v>
      </c>
      <c r="J150" s="148" t="s">
        <v>114</v>
      </c>
      <c r="K150" s="147">
        <v>68040</v>
      </c>
      <c r="L150" s="147">
        <f>0.1*K150</f>
        <v>6804</v>
      </c>
    </row>
    <row r="151" spans="1:20" s="117" customFormat="1" ht="15" customHeight="1">
      <c r="A151" s="349" t="s">
        <v>241</v>
      </c>
      <c r="B151" s="111" t="s">
        <v>11</v>
      </c>
      <c r="C151" s="112">
        <f>E151/D151</f>
        <v>0.12008733624454149</v>
      </c>
      <c r="D151" s="38">
        <v>229</v>
      </c>
      <c r="E151" s="184">
        <v>27.5</v>
      </c>
      <c r="F151" s="113" t="s">
        <v>1</v>
      </c>
      <c r="G151" s="114">
        <v>21525</v>
      </c>
      <c r="H151" s="115">
        <f>E151*G151</f>
        <v>591937.5</v>
      </c>
      <c r="I151" s="182">
        <f>H150-I141</f>
        <v>-17000.5</v>
      </c>
      <c r="J151" s="128"/>
    </row>
    <row r="152" spans="1:20" s="117" customFormat="1" ht="15" customHeight="1">
      <c r="A152" s="350"/>
      <c r="B152" s="213" t="s">
        <v>6</v>
      </c>
      <c r="C152" s="38">
        <f>E152/D152</f>
        <v>7.1615720524017462E-2</v>
      </c>
      <c r="D152" s="38">
        <v>229</v>
      </c>
      <c r="E152" s="269">
        <v>16.399999999999999</v>
      </c>
      <c r="F152" s="38" t="s">
        <v>1</v>
      </c>
      <c r="G152" s="120">
        <v>141750</v>
      </c>
      <c r="H152" s="121">
        <f>E152*G152</f>
        <v>2324700</v>
      </c>
      <c r="I152" s="123">
        <f>229*17000</f>
        <v>3893000</v>
      </c>
      <c r="J152" s="124">
        <f>232*17000</f>
        <v>3944000</v>
      </c>
    </row>
    <row r="153" spans="1:20" s="117" customFormat="1" ht="15" customHeight="1">
      <c r="A153" s="350"/>
      <c r="B153" s="213" t="s">
        <v>34</v>
      </c>
      <c r="C153" s="38">
        <f t="shared" ref="C153:C154" si="27">E153/D153</f>
        <v>3.0567685589519651E-3</v>
      </c>
      <c r="D153" s="38">
        <v>229</v>
      </c>
      <c r="E153" s="273" t="s">
        <v>35</v>
      </c>
      <c r="F153" s="38" t="s">
        <v>1</v>
      </c>
      <c r="G153" s="120">
        <v>304500</v>
      </c>
      <c r="H153" s="121">
        <f t="shared" ref="H153:H157" si="28">E153*G153</f>
        <v>213150</v>
      </c>
    </row>
    <row r="154" spans="1:20" s="117" customFormat="1" ht="15" customHeight="1">
      <c r="A154" s="350"/>
      <c r="B154" s="213" t="s">
        <v>36</v>
      </c>
      <c r="C154" s="38">
        <f t="shared" si="27"/>
        <v>3.0567685589519649E-2</v>
      </c>
      <c r="D154" s="38">
        <v>229</v>
      </c>
      <c r="E154" s="273" t="s">
        <v>131</v>
      </c>
      <c r="F154" s="38" t="s">
        <v>1</v>
      </c>
      <c r="G154" s="120">
        <v>67200</v>
      </c>
      <c r="H154" s="121">
        <f t="shared" si="28"/>
        <v>470400</v>
      </c>
      <c r="I154" s="135">
        <f>I152-H159</f>
        <v>0.5</v>
      </c>
      <c r="K154" s="113" t="s">
        <v>22</v>
      </c>
      <c r="L154" s="140">
        <f>N154/M154</f>
        <v>0.11982758620689656</v>
      </c>
      <c r="M154" s="159">
        <v>232</v>
      </c>
      <c r="N154" s="187" t="s">
        <v>108</v>
      </c>
      <c r="O154" s="160" t="s">
        <v>1</v>
      </c>
      <c r="P154" s="141">
        <v>21525</v>
      </c>
      <c r="Q154" s="161">
        <f>N154*P154</f>
        <v>598395</v>
      </c>
    </row>
    <row r="155" spans="1:20" s="117" customFormat="1" ht="15" customHeight="1">
      <c r="A155" s="350"/>
      <c r="B155" s="38" t="s">
        <v>55</v>
      </c>
      <c r="C155" s="163"/>
      <c r="D155" s="38"/>
      <c r="E155" s="163">
        <v>0.1</v>
      </c>
      <c r="F155" s="38" t="s">
        <v>4</v>
      </c>
      <c r="G155" s="120">
        <v>36750</v>
      </c>
      <c r="H155" s="121">
        <f t="shared" si="28"/>
        <v>3675</v>
      </c>
      <c r="K155" s="162"/>
      <c r="L155" s="142"/>
      <c r="M155" s="164"/>
      <c r="N155" s="188"/>
      <c r="O155" s="38"/>
      <c r="P155" s="165"/>
      <c r="Q155" s="121"/>
    </row>
    <row r="156" spans="1:20" s="117" customFormat="1" ht="15" customHeight="1">
      <c r="A156" s="350"/>
      <c r="B156" s="162" t="s">
        <v>154</v>
      </c>
      <c r="C156" s="163"/>
      <c r="D156" s="166"/>
      <c r="E156" s="185">
        <v>8.1999999999999993</v>
      </c>
      <c r="F156" s="38" t="s">
        <v>1</v>
      </c>
      <c r="G156" s="120">
        <v>18900</v>
      </c>
      <c r="H156" s="121">
        <f t="shared" si="28"/>
        <v>154980</v>
      </c>
      <c r="K156" s="162" t="s">
        <v>53</v>
      </c>
      <c r="L156" s="142">
        <f t="shared" ref="L156:L158" si="29">N156/M156</f>
        <v>3.4482758620689655E-2</v>
      </c>
      <c r="M156" s="164">
        <v>232</v>
      </c>
      <c r="N156" s="188" t="s">
        <v>23</v>
      </c>
      <c r="O156" s="38" t="s">
        <v>1</v>
      </c>
      <c r="P156" s="165">
        <v>89250</v>
      </c>
      <c r="Q156" s="121">
        <f t="shared" ref="Q156:Q160" si="30">N156*P156</f>
        <v>714000</v>
      </c>
    </row>
    <row r="157" spans="1:20" s="117" customFormat="1" ht="15" customHeight="1">
      <c r="A157" s="350"/>
      <c r="B157" s="38" t="s">
        <v>12</v>
      </c>
      <c r="C157" s="38"/>
      <c r="D157" s="38"/>
      <c r="E157" s="163">
        <v>0.1</v>
      </c>
      <c r="F157" s="38" t="s">
        <v>1</v>
      </c>
      <c r="G157" s="120">
        <v>57750</v>
      </c>
      <c r="H157" s="121">
        <f t="shared" si="28"/>
        <v>5775</v>
      </c>
      <c r="K157" s="38" t="s">
        <v>153</v>
      </c>
      <c r="L157" s="142">
        <f t="shared" si="29"/>
        <v>4.3103448275862068E-3</v>
      </c>
      <c r="M157" s="164">
        <v>232</v>
      </c>
      <c r="N157" s="163">
        <v>1</v>
      </c>
      <c r="O157" s="38" t="s">
        <v>4</v>
      </c>
      <c r="P157" s="120">
        <v>137550</v>
      </c>
      <c r="Q157" s="121">
        <f t="shared" si="30"/>
        <v>137550</v>
      </c>
    </row>
    <row r="158" spans="1:20" s="117" customFormat="1" ht="15" customHeight="1">
      <c r="A158" s="351"/>
      <c r="B158" s="125" t="s">
        <v>25</v>
      </c>
      <c r="C158" s="125"/>
      <c r="D158" s="125"/>
      <c r="E158" s="126"/>
      <c r="F158" s="127"/>
      <c r="G158" s="125"/>
      <c r="H158" s="121">
        <f>130426-2044</f>
        <v>128382</v>
      </c>
      <c r="I158" s="117">
        <v>130426</v>
      </c>
      <c r="K158" s="38" t="s">
        <v>55</v>
      </c>
      <c r="L158" s="163">
        <f t="shared" si="29"/>
        <v>4.3103448275862074E-4</v>
      </c>
      <c r="M158" s="164">
        <v>232</v>
      </c>
      <c r="N158" s="163">
        <v>0.1</v>
      </c>
      <c r="O158" s="38" t="s">
        <v>4</v>
      </c>
      <c r="P158" s="120">
        <v>36750</v>
      </c>
      <c r="Q158" s="121">
        <f t="shared" si="30"/>
        <v>3675</v>
      </c>
    </row>
    <row r="159" spans="1:20" s="148" customFormat="1" ht="18.600000000000001" customHeight="1">
      <c r="A159" s="149"/>
      <c r="B159" s="150"/>
      <c r="C159" s="151"/>
      <c r="D159" s="151"/>
      <c r="E159" s="152"/>
      <c r="F159" s="153"/>
      <c r="G159" s="150"/>
      <c r="H159" s="154">
        <f>SUM(H151:H158)</f>
        <v>3892999.5</v>
      </c>
      <c r="I159" s="183">
        <f>H159-I152</f>
        <v>-0.5</v>
      </c>
      <c r="K159" s="162" t="s">
        <v>149</v>
      </c>
      <c r="L159" s="163"/>
      <c r="M159" s="166"/>
      <c r="N159" s="185">
        <v>6.7</v>
      </c>
      <c r="O159" s="38" t="s">
        <v>1</v>
      </c>
      <c r="P159" s="120">
        <v>24150</v>
      </c>
      <c r="Q159" s="121">
        <f t="shared" si="30"/>
        <v>161805</v>
      </c>
    </row>
    <row r="160" spans="1:20" s="232" customFormat="1" ht="15" customHeight="1">
      <c r="A160" s="241"/>
      <c r="B160" s="111" t="s">
        <v>22</v>
      </c>
      <c r="C160" s="264">
        <f>E160/D160</f>
        <v>0.1206140350877193</v>
      </c>
      <c r="D160" s="213">
        <v>228</v>
      </c>
      <c r="E160" s="187" t="s">
        <v>161</v>
      </c>
      <c r="F160" s="265" t="s">
        <v>1</v>
      </c>
      <c r="G160" s="266">
        <v>21000</v>
      </c>
      <c r="H160" s="267">
        <f>E160*G160</f>
        <v>577500</v>
      </c>
      <c r="I160" s="232">
        <f>4205303-3893000</f>
        <v>312303</v>
      </c>
      <c r="K160" s="38" t="s">
        <v>66</v>
      </c>
      <c r="L160" s="146"/>
      <c r="M160" s="38"/>
      <c r="N160" s="119" t="s">
        <v>46</v>
      </c>
      <c r="O160" s="38" t="s">
        <v>1</v>
      </c>
      <c r="P160" s="120">
        <v>57750</v>
      </c>
      <c r="Q160" s="121">
        <f t="shared" si="30"/>
        <v>5775</v>
      </c>
    </row>
    <row r="161" spans="1:17" s="232" customFormat="1" ht="15" customHeight="1">
      <c r="A161" s="360" t="s">
        <v>242</v>
      </c>
      <c r="B161" s="265" t="s">
        <v>184</v>
      </c>
      <c r="C161" s="268">
        <f t="shared" ref="C161:C163" si="31">E161/D161</f>
        <v>7.8070175438596498E-2</v>
      </c>
      <c r="D161" s="213">
        <v>228</v>
      </c>
      <c r="E161" s="187" t="s">
        <v>246</v>
      </c>
      <c r="F161" s="213" t="s">
        <v>1</v>
      </c>
      <c r="G161" s="266">
        <v>129150</v>
      </c>
      <c r="H161" s="271">
        <f>G161*E161</f>
        <v>2298870</v>
      </c>
      <c r="K161" s="167" t="s">
        <v>25</v>
      </c>
      <c r="L161" s="146"/>
      <c r="M161" s="168"/>
      <c r="N161" s="169"/>
      <c r="O161" s="164" t="s">
        <v>1</v>
      </c>
      <c r="P161" s="120"/>
      <c r="Q161" s="133">
        <f>130426+514</f>
        <v>130940</v>
      </c>
    </row>
    <row r="162" spans="1:17" s="232" customFormat="1" ht="19.2" customHeight="1">
      <c r="A162" s="360"/>
      <c r="B162" s="38" t="s">
        <v>153</v>
      </c>
      <c r="C162" s="142">
        <f t="shared" si="31"/>
        <v>4.3859649122807015E-3</v>
      </c>
      <c r="D162" s="164">
        <v>228</v>
      </c>
      <c r="E162" s="163">
        <v>1</v>
      </c>
      <c r="F162" s="38" t="s">
        <v>4</v>
      </c>
      <c r="G162" s="120">
        <v>141750</v>
      </c>
      <c r="H162" s="121">
        <f t="shared" ref="H162" si="32">E162*G162</f>
        <v>141750</v>
      </c>
      <c r="I162" s="256">
        <f>232*17000</f>
        <v>3944000</v>
      </c>
      <c r="J162" s="231" t="e">
        <f>#REF!*15</f>
        <v>#REF!</v>
      </c>
      <c r="K162" s="231"/>
      <c r="L162" s="231"/>
    </row>
    <row r="163" spans="1:17" s="232" customFormat="1" ht="15" customHeight="1">
      <c r="A163" s="360"/>
      <c r="B163" s="213" t="s">
        <v>7</v>
      </c>
      <c r="C163" s="272">
        <f t="shared" si="31"/>
        <v>0.57456140350877194</v>
      </c>
      <c r="D163" s="213">
        <v>228</v>
      </c>
      <c r="E163" s="273" t="s">
        <v>185</v>
      </c>
      <c r="F163" s="213" t="s">
        <v>1</v>
      </c>
      <c r="G163" s="270">
        <v>3510</v>
      </c>
      <c r="H163" s="271">
        <f>E163*G163</f>
        <v>459810</v>
      </c>
      <c r="K163" s="231"/>
      <c r="L163" s="231"/>
    </row>
    <row r="164" spans="1:17" s="232" customFormat="1" ht="15" customHeight="1">
      <c r="A164" s="360"/>
      <c r="B164" s="213" t="s">
        <v>187</v>
      </c>
      <c r="C164" s="272"/>
      <c r="D164" s="213"/>
      <c r="E164" s="273" t="s">
        <v>189</v>
      </c>
      <c r="F164" s="213" t="s">
        <v>188</v>
      </c>
      <c r="G164" s="270">
        <v>37800</v>
      </c>
      <c r="H164" s="271">
        <f>E164*G164</f>
        <v>75600</v>
      </c>
      <c r="K164" s="231"/>
      <c r="L164" s="231"/>
    </row>
    <row r="165" spans="1:17" s="232" customFormat="1" ht="15" customHeight="1">
      <c r="A165" s="360"/>
      <c r="B165" s="213" t="s">
        <v>197</v>
      </c>
      <c r="C165" s="272"/>
      <c r="D165" s="213"/>
      <c r="E165" s="273" t="s">
        <v>26</v>
      </c>
      <c r="F165" s="213" t="s">
        <v>4</v>
      </c>
      <c r="G165" s="270">
        <v>44280</v>
      </c>
      <c r="H165" s="271">
        <f>E165*G165</f>
        <v>44280</v>
      </c>
      <c r="K165" s="231"/>
      <c r="L165" s="231"/>
    </row>
    <row r="166" spans="1:17" s="232" customFormat="1" ht="15" customHeight="1">
      <c r="A166" s="360"/>
      <c r="B166" s="213" t="s">
        <v>198</v>
      </c>
      <c r="C166" s="272"/>
      <c r="D166" s="213"/>
      <c r="E166" s="273" t="s">
        <v>247</v>
      </c>
      <c r="F166" s="213" t="s">
        <v>1</v>
      </c>
      <c r="G166" s="270">
        <v>24150</v>
      </c>
      <c r="H166" s="271">
        <f t="shared" ref="H166:H168" si="33">E166*G166</f>
        <v>132825</v>
      </c>
      <c r="K166" s="12" t="s">
        <v>22</v>
      </c>
      <c r="L166" s="142">
        <f t="shared" ref="L166" si="34">N166/M166</f>
        <v>0.11982758620689656</v>
      </c>
      <c r="M166" s="17">
        <v>232</v>
      </c>
      <c r="N166" s="286" t="s">
        <v>108</v>
      </c>
      <c r="O166" s="12" t="s">
        <v>1</v>
      </c>
      <c r="P166" s="13">
        <v>21525</v>
      </c>
      <c r="Q166" s="14">
        <f>N166*P166</f>
        <v>598395</v>
      </c>
    </row>
    <row r="167" spans="1:17" s="232" customFormat="1" ht="15" customHeight="1">
      <c r="A167" s="360"/>
      <c r="B167" s="213" t="s">
        <v>41</v>
      </c>
      <c r="C167" s="268"/>
      <c r="D167" s="213"/>
      <c r="E167" s="273" t="s">
        <v>46</v>
      </c>
      <c r="F167" s="213" t="s">
        <v>4</v>
      </c>
      <c r="G167" s="120">
        <v>36750</v>
      </c>
      <c r="H167" s="121">
        <f t="shared" si="33"/>
        <v>3675</v>
      </c>
      <c r="K167" s="15"/>
      <c r="L167" s="142"/>
      <c r="M167" s="17"/>
      <c r="N167" s="303"/>
      <c r="O167" s="15"/>
      <c r="P167" s="40"/>
      <c r="Q167" s="16"/>
    </row>
    <row r="168" spans="1:17" s="232" customFormat="1" ht="15" customHeight="1">
      <c r="A168" s="360"/>
      <c r="B168" s="213" t="s">
        <v>12</v>
      </c>
      <c r="C168" s="216"/>
      <c r="D168" s="213"/>
      <c r="E168" s="274">
        <v>0.2</v>
      </c>
      <c r="F168" s="213" t="s">
        <v>1</v>
      </c>
      <c r="G168" s="120">
        <v>57750</v>
      </c>
      <c r="H168" s="121">
        <f t="shared" si="33"/>
        <v>11550</v>
      </c>
      <c r="I168" s="263">
        <f>228*17000</f>
        <v>3876000</v>
      </c>
      <c r="K168" s="38" t="s">
        <v>87</v>
      </c>
      <c r="L168" s="142">
        <f t="shared" ref="L168:L169" si="35">N168/M168</f>
        <v>7.1551724137931039E-2</v>
      </c>
      <c r="M168" s="17">
        <v>232</v>
      </c>
      <c r="N168" s="42">
        <v>16.600000000000001</v>
      </c>
      <c r="O168" s="38" t="s">
        <v>1</v>
      </c>
      <c r="P168" s="120">
        <v>140700</v>
      </c>
      <c r="Q168" s="121">
        <f>N168*P168-1892</f>
        <v>2333728</v>
      </c>
    </row>
    <row r="169" spans="1:17" s="232" customFormat="1" ht="15" customHeight="1">
      <c r="A169" s="360"/>
      <c r="B169" s="275" t="s">
        <v>25</v>
      </c>
      <c r="C169" s="275"/>
      <c r="D169" s="275"/>
      <c r="E169" s="276"/>
      <c r="F169" s="277"/>
      <c r="G169" s="275"/>
      <c r="H169" s="278">
        <f>130426+286</f>
        <v>130712</v>
      </c>
      <c r="K169" s="38" t="s">
        <v>36</v>
      </c>
      <c r="L169" s="144">
        <f t="shared" si="35"/>
        <v>3.5344827586206891E-2</v>
      </c>
      <c r="M169" s="17">
        <v>232</v>
      </c>
      <c r="N169" s="287" t="s">
        <v>37</v>
      </c>
      <c r="O169" s="38" t="s">
        <v>1</v>
      </c>
      <c r="P169" s="120">
        <v>67200</v>
      </c>
      <c r="Q169" s="121">
        <f>N169*P169</f>
        <v>551040</v>
      </c>
    </row>
    <row r="170" spans="1:17" s="134" customFormat="1" ht="20.399999999999999" customHeight="1">
      <c r="A170" s="218"/>
      <c r="B170" s="20"/>
      <c r="C170" s="20"/>
      <c r="D170" s="20"/>
      <c r="E170" s="56"/>
      <c r="F170" s="21"/>
      <c r="G170" s="20"/>
      <c r="H170" s="5">
        <f>SUM(H160:H169)</f>
        <v>3876572</v>
      </c>
      <c r="I170" s="217">
        <f>H170-I168</f>
        <v>572</v>
      </c>
      <c r="K170" s="17" t="s">
        <v>44</v>
      </c>
      <c r="L170" s="17"/>
      <c r="M170" s="17">
        <v>232</v>
      </c>
      <c r="N170" s="302">
        <v>3.1</v>
      </c>
      <c r="O170" s="17" t="s">
        <v>1</v>
      </c>
      <c r="P170" s="19">
        <v>21000</v>
      </c>
      <c r="Q170" s="19">
        <f>N170*P170</f>
        <v>65100</v>
      </c>
    </row>
    <row r="171" spans="1:17" s="134" customFormat="1" ht="20.399999999999999" customHeight="1">
      <c r="A171" s="353" t="s">
        <v>243</v>
      </c>
      <c r="B171" s="113" t="s">
        <v>22</v>
      </c>
      <c r="C171" s="140">
        <f>E171/D171</f>
        <v>0.1206140350877193</v>
      </c>
      <c r="D171" s="213">
        <v>228</v>
      </c>
      <c r="E171" s="186" t="s">
        <v>161</v>
      </c>
      <c r="F171" s="113" t="s">
        <v>1</v>
      </c>
      <c r="G171" s="141">
        <v>21000</v>
      </c>
      <c r="H171" s="115">
        <f>E171*G171</f>
        <v>577500</v>
      </c>
      <c r="I171" s="217"/>
      <c r="K171" s="17" t="s">
        <v>45</v>
      </c>
      <c r="L171" s="17"/>
      <c r="M171" s="17">
        <v>232</v>
      </c>
      <c r="N171" s="192">
        <v>1</v>
      </c>
      <c r="O171" s="17" t="s">
        <v>1</v>
      </c>
      <c r="P171" s="19">
        <v>164850</v>
      </c>
      <c r="Q171" s="19">
        <f t="shared" ref="Q171:Q174" si="36">N171*P171</f>
        <v>164850</v>
      </c>
    </row>
    <row r="172" spans="1:17" s="134" customFormat="1" ht="20.399999999999999" customHeight="1">
      <c r="A172" s="354"/>
      <c r="B172" s="38" t="s">
        <v>87</v>
      </c>
      <c r="C172" s="142">
        <f t="shared" ref="C172:C173" si="37">E172/D172</f>
        <v>6.9736842105263153E-2</v>
      </c>
      <c r="D172" s="213">
        <v>228</v>
      </c>
      <c r="E172" s="143">
        <v>15.9</v>
      </c>
      <c r="F172" s="38" t="s">
        <v>1</v>
      </c>
      <c r="G172" s="120">
        <v>140700</v>
      </c>
      <c r="H172" s="121">
        <f>E172*G172-1892</f>
        <v>2235238</v>
      </c>
      <c r="I172" s="217"/>
      <c r="J172" s="134">
        <f>231-2</f>
        <v>229</v>
      </c>
      <c r="K172" s="17" t="s">
        <v>14</v>
      </c>
      <c r="L172" s="17"/>
      <c r="M172" s="17"/>
      <c r="N172" s="302">
        <v>4.3</v>
      </c>
      <c r="O172" s="17" t="s">
        <v>1</v>
      </c>
      <c r="P172" s="18">
        <v>21000</v>
      </c>
      <c r="Q172" s="19">
        <f t="shared" si="36"/>
        <v>90300</v>
      </c>
    </row>
    <row r="173" spans="1:17" s="134" customFormat="1" ht="20.399999999999999" customHeight="1">
      <c r="A173" s="354"/>
      <c r="B173" s="38" t="s">
        <v>130</v>
      </c>
      <c r="C173" s="144">
        <f t="shared" si="37"/>
        <v>3.2017543859649125E-2</v>
      </c>
      <c r="D173" s="164">
        <v>228</v>
      </c>
      <c r="E173" s="287" t="s">
        <v>152</v>
      </c>
      <c r="F173" s="38" t="s">
        <v>1</v>
      </c>
      <c r="G173" s="120">
        <v>67200</v>
      </c>
      <c r="H173" s="121">
        <f>E173*G173</f>
        <v>490560</v>
      </c>
      <c r="I173" s="217"/>
      <c r="K173" s="17" t="s">
        <v>12</v>
      </c>
      <c r="L173" s="17"/>
      <c r="M173" s="17"/>
      <c r="N173" s="287" t="s">
        <v>46</v>
      </c>
      <c r="O173" s="17" t="s">
        <v>1</v>
      </c>
      <c r="P173" s="120">
        <v>57750</v>
      </c>
      <c r="Q173" s="121">
        <f t="shared" si="36"/>
        <v>5775</v>
      </c>
    </row>
    <row r="174" spans="1:17" s="134" customFormat="1" ht="20.399999999999999" customHeight="1">
      <c r="A174" s="354"/>
      <c r="B174" s="38" t="s">
        <v>78</v>
      </c>
      <c r="C174" s="144"/>
      <c r="D174" s="213">
        <v>228</v>
      </c>
      <c r="E174" s="119" t="s">
        <v>48</v>
      </c>
      <c r="F174" s="38" t="s">
        <v>1</v>
      </c>
      <c r="G174" s="120">
        <v>78750</v>
      </c>
      <c r="H174" s="121">
        <f t="shared" ref="H174:H178" si="38">E174*G174</f>
        <v>236250</v>
      </c>
      <c r="I174" s="217">
        <f>229*17000</f>
        <v>3893000</v>
      </c>
      <c r="K174" s="20" t="s">
        <v>41</v>
      </c>
      <c r="L174" s="35"/>
      <c r="M174" s="17"/>
      <c r="N174" s="288" t="s">
        <v>46</v>
      </c>
      <c r="O174" s="17" t="s">
        <v>1</v>
      </c>
      <c r="P174" s="120">
        <v>36750</v>
      </c>
      <c r="Q174" s="121">
        <f t="shared" si="36"/>
        <v>3675</v>
      </c>
    </row>
    <row r="175" spans="1:17" s="134" customFormat="1" ht="20.399999999999999" customHeight="1">
      <c r="A175" s="354"/>
      <c r="B175" s="38" t="s">
        <v>79</v>
      </c>
      <c r="C175" s="144"/>
      <c r="D175" s="164">
        <v>228</v>
      </c>
      <c r="E175" s="119" t="s">
        <v>237</v>
      </c>
      <c r="F175" s="38" t="s">
        <v>4</v>
      </c>
      <c r="G175" s="120">
        <v>20478</v>
      </c>
      <c r="H175" s="121">
        <f t="shared" si="38"/>
        <v>204780</v>
      </c>
      <c r="I175" s="217"/>
      <c r="K175" s="20" t="s">
        <v>25</v>
      </c>
      <c r="L175" s="20"/>
      <c r="M175" s="20"/>
      <c r="N175" s="56"/>
      <c r="O175" s="21"/>
      <c r="P175" s="20"/>
      <c r="Q175" s="285">
        <f>130426+711</f>
        <v>131137</v>
      </c>
    </row>
    <row r="176" spans="1:17" s="134" customFormat="1" ht="20.399999999999999" customHeight="1">
      <c r="A176" s="354"/>
      <c r="B176" s="38" t="s">
        <v>81</v>
      </c>
      <c r="C176" s="38"/>
      <c r="D176" s="38"/>
      <c r="E176" s="119" t="s">
        <v>46</v>
      </c>
      <c r="F176" s="38" t="s">
        <v>1</v>
      </c>
      <c r="G176" s="120">
        <v>63000</v>
      </c>
      <c r="H176" s="121">
        <f t="shared" si="38"/>
        <v>6300</v>
      </c>
      <c r="I176" s="217"/>
      <c r="K176" s="213" t="s">
        <v>34</v>
      </c>
      <c r="L176" s="272">
        <f t="shared" ref="L176:L178" si="39">N176/M176</f>
        <v>3.3333333333333333E-2</v>
      </c>
      <c r="M176" s="213">
        <v>21</v>
      </c>
      <c r="N176" s="273" t="s">
        <v>35</v>
      </c>
      <c r="O176" s="213" t="s">
        <v>1</v>
      </c>
      <c r="P176" s="270">
        <v>304500</v>
      </c>
      <c r="Q176" s="271">
        <f>N176*P176</f>
        <v>213150</v>
      </c>
    </row>
    <row r="177" spans="1:17" s="134" customFormat="1" ht="20.399999999999999" customHeight="1">
      <c r="A177" s="354"/>
      <c r="B177" s="38" t="s">
        <v>66</v>
      </c>
      <c r="C177" s="146"/>
      <c r="D177" s="38"/>
      <c r="E177" s="119" t="s">
        <v>46</v>
      </c>
      <c r="F177" s="38" t="s">
        <v>1</v>
      </c>
      <c r="G177" s="120">
        <v>60900</v>
      </c>
      <c r="H177" s="121">
        <f t="shared" si="38"/>
        <v>6090</v>
      </c>
      <c r="I177" s="217">
        <f>H180-I174</f>
        <v>0</v>
      </c>
      <c r="K177" s="213" t="s">
        <v>36</v>
      </c>
      <c r="L177" s="272">
        <f t="shared" si="39"/>
        <v>3.9301310043668124E-2</v>
      </c>
      <c r="M177" s="213">
        <v>229</v>
      </c>
      <c r="N177" s="273" t="s">
        <v>145</v>
      </c>
      <c r="O177" s="213" t="s">
        <v>1</v>
      </c>
      <c r="P177" s="270">
        <v>67200</v>
      </c>
      <c r="Q177" s="271">
        <f>N177*P177</f>
        <v>604800</v>
      </c>
    </row>
    <row r="178" spans="1:17" s="134" customFormat="1" ht="20.399999999999999" customHeight="1">
      <c r="A178" s="354"/>
      <c r="B178" s="38" t="s">
        <v>82</v>
      </c>
      <c r="C178" s="125"/>
      <c r="D178" s="38"/>
      <c r="E178" s="119" t="s">
        <v>46</v>
      </c>
      <c r="F178" s="38" t="s">
        <v>1</v>
      </c>
      <c r="G178" s="120">
        <v>42000</v>
      </c>
      <c r="H178" s="121">
        <f t="shared" si="38"/>
        <v>4200</v>
      </c>
      <c r="I178" s="217"/>
      <c r="K178" s="213" t="s">
        <v>94</v>
      </c>
      <c r="L178" s="272">
        <f t="shared" si="39"/>
        <v>3.2314410480349345E-2</v>
      </c>
      <c r="M178" s="213">
        <v>229</v>
      </c>
      <c r="N178" s="273" t="s">
        <v>139</v>
      </c>
      <c r="O178" s="213" t="s">
        <v>1</v>
      </c>
      <c r="P178" s="270">
        <v>22050</v>
      </c>
      <c r="Q178" s="271">
        <f t="shared" ref="Q178" si="40">N178*P178</f>
        <v>163170</v>
      </c>
    </row>
    <row r="179" spans="1:17" s="134" customFormat="1" ht="20.399999999999999" customHeight="1">
      <c r="A179" s="289"/>
      <c r="B179" s="275" t="s">
        <v>25</v>
      </c>
      <c r="C179" s="275"/>
      <c r="D179" s="275"/>
      <c r="E179" s="276"/>
      <c r="F179" s="277"/>
      <c r="G179" s="275"/>
      <c r="H179" s="278">
        <f>130426+1288+368</f>
        <v>132082</v>
      </c>
      <c r="I179" s="217"/>
      <c r="K179" s="290"/>
      <c r="L179" s="272"/>
      <c r="M179" s="290"/>
      <c r="N179" s="291"/>
      <c r="O179" s="290"/>
      <c r="P179" s="292"/>
      <c r="Q179" s="293"/>
    </row>
    <row r="180" spans="1:17" s="134" customFormat="1" ht="20.399999999999999" customHeight="1">
      <c r="A180" s="218"/>
      <c r="B180" s="294"/>
      <c r="C180" s="220"/>
      <c r="D180" s="294"/>
      <c r="E180" s="295"/>
      <c r="F180" s="294"/>
      <c r="G180" s="296"/>
      <c r="H180" s="297">
        <f>SUM(H171:H179)</f>
        <v>3893000</v>
      </c>
      <c r="I180" s="217">
        <f>H180-I174</f>
        <v>0</v>
      </c>
      <c r="K180" s="275" t="s">
        <v>25</v>
      </c>
      <c r="L180" s="275"/>
      <c r="M180" s="275"/>
      <c r="N180" s="276"/>
      <c r="O180" s="277"/>
      <c r="P180" s="275"/>
      <c r="Q180" s="278">
        <f>136716+1538</f>
        <v>138254</v>
      </c>
    </row>
    <row r="181" spans="1:17" s="134" customFormat="1" ht="15" customHeight="1">
      <c r="A181" s="346" t="s">
        <v>244</v>
      </c>
      <c r="B181" s="111" t="s">
        <v>11</v>
      </c>
      <c r="C181" s="112">
        <f>E181/D181</f>
        <v>0.1206140350877193</v>
      </c>
      <c r="D181" s="38">
        <v>228</v>
      </c>
      <c r="E181" s="184">
        <v>27.5</v>
      </c>
      <c r="F181" s="113" t="s">
        <v>1</v>
      </c>
      <c r="G181" s="114">
        <v>21000</v>
      </c>
      <c r="H181" s="115">
        <f>E181*G181</f>
        <v>577500</v>
      </c>
      <c r="I181" s="284"/>
      <c r="J181" s="217"/>
    </row>
    <row r="182" spans="1:17" s="134" customFormat="1" ht="15" customHeight="1">
      <c r="A182" s="346"/>
      <c r="B182" s="38" t="s">
        <v>42</v>
      </c>
      <c r="C182" s="38">
        <f>E182/D182</f>
        <v>5.8333333333333334E-2</v>
      </c>
      <c r="D182" s="38">
        <v>228</v>
      </c>
      <c r="E182" s="163">
        <v>13.3</v>
      </c>
      <c r="F182" s="38" t="s">
        <v>1</v>
      </c>
      <c r="G182" s="120">
        <v>169560</v>
      </c>
      <c r="H182" s="121">
        <f>E182*G182</f>
        <v>2255148</v>
      </c>
      <c r="J182" s="280">
        <f>228*17000</f>
        <v>3876000</v>
      </c>
    </row>
    <row r="183" spans="1:17" s="134" customFormat="1" ht="15" customHeight="1">
      <c r="A183" s="346"/>
      <c r="B183" s="38" t="s">
        <v>43</v>
      </c>
      <c r="C183" s="38">
        <f t="shared" ref="C183:C185" si="41">E183/D183</f>
        <v>0.57456140350877194</v>
      </c>
      <c r="D183" s="38">
        <v>228</v>
      </c>
      <c r="E183" s="163">
        <v>131</v>
      </c>
      <c r="F183" s="38" t="s">
        <v>1</v>
      </c>
      <c r="G183" s="120">
        <v>3456</v>
      </c>
      <c r="H183" s="121">
        <f t="shared" ref="H183:H188" si="42">E183*G183</f>
        <v>452736</v>
      </c>
    </row>
    <row r="184" spans="1:17" s="134" customFormat="1" ht="15" customHeight="1">
      <c r="A184" s="346"/>
      <c r="B184" s="38" t="s">
        <v>44</v>
      </c>
      <c r="C184" s="38">
        <f t="shared" si="41"/>
        <v>2.7192982456140352E-2</v>
      </c>
      <c r="D184" s="38">
        <v>228</v>
      </c>
      <c r="E184" s="163">
        <v>6.2</v>
      </c>
      <c r="F184" s="38" t="s">
        <v>1</v>
      </c>
      <c r="G184" s="120">
        <v>23100</v>
      </c>
      <c r="H184" s="121">
        <f t="shared" si="42"/>
        <v>143220</v>
      </c>
    </row>
    <row r="185" spans="1:17" s="134" customFormat="1" ht="15" customHeight="1">
      <c r="A185" s="279"/>
      <c r="B185" s="38" t="s">
        <v>153</v>
      </c>
      <c r="C185" s="142">
        <f t="shared" si="41"/>
        <v>4.3859649122807015E-3</v>
      </c>
      <c r="D185" s="38">
        <v>228</v>
      </c>
      <c r="E185" s="163">
        <v>1</v>
      </c>
      <c r="F185" s="38" t="s">
        <v>4</v>
      </c>
      <c r="G185" s="120">
        <v>141750</v>
      </c>
      <c r="H185" s="121">
        <f t="shared" si="42"/>
        <v>141750</v>
      </c>
    </row>
    <row r="186" spans="1:17" s="134" customFormat="1" ht="15" customHeight="1">
      <c r="A186" s="279"/>
      <c r="B186" s="38" t="s">
        <v>55</v>
      </c>
      <c r="C186" s="163"/>
      <c r="D186" s="38"/>
      <c r="E186" s="163">
        <v>0.1</v>
      </c>
      <c r="F186" s="38" t="s">
        <v>4</v>
      </c>
      <c r="G186" s="120">
        <v>36750</v>
      </c>
      <c r="H186" s="121">
        <f t="shared" si="42"/>
        <v>3675</v>
      </c>
    </row>
    <row r="187" spans="1:17" s="134" customFormat="1" ht="15" customHeight="1">
      <c r="A187" s="279"/>
      <c r="B187" s="162" t="s">
        <v>154</v>
      </c>
      <c r="C187" s="163"/>
      <c r="D187" s="166"/>
      <c r="E187" s="185">
        <v>8.8000000000000007</v>
      </c>
      <c r="F187" s="38" t="s">
        <v>1</v>
      </c>
      <c r="G187" s="120">
        <v>18900</v>
      </c>
      <c r="H187" s="121">
        <f t="shared" si="42"/>
        <v>166320</v>
      </c>
    </row>
    <row r="188" spans="1:17" s="134" customFormat="1" ht="15" customHeight="1">
      <c r="A188" s="279"/>
      <c r="B188" s="38" t="s">
        <v>12</v>
      </c>
      <c r="C188" s="38"/>
      <c r="D188" s="38"/>
      <c r="E188" s="163">
        <v>0.1</v>
      </c>
      <c r="F188" s="38" t="s">
        <v>1</v>
      </c>
      <c r="G188" s="120">
        <v>57750</v>
      </c>
      <c r="H188" s="121">
        <f t="shared" si="42"/>
        <v>5775</v>
      </c>
    </row>
    <row r="189" spans="1:17" s="134" customFormat="1" ht="15" customHeight="1">
      <c r="A189" s="279"/>
      <c r="B189" s="125" t="s">
        <v>25</v>
      </c>
      <c r="C189" s="125"/>
      <c r="D189" s="125"/>
      <c r="E189" s="126"/>
      <c r="F189" s="127"/>
      <c r="G189" s="125"/>
      <c r="H189" s="278">
        <f>130426-550</f>
        <v>129876</v>
      </c>
    </row>
    <row r="190" spans="1:17" s="155" customFormat="1" ht="19.8" customHeight="1">
      <c r="A190" s="222"/>
      <c r="B190" s="175"/>
      <c r="C190" s="175"/>
      <c r="D190" s="175"/>
      <c r="E190" s="223"/>
      <c r="F190" s="224"/>
      <c r="G190" s="175"/>
      <c r="H190" s="225">
        <f>SUM(H181:H189)</f>
        <v>3876000</v>
      </c>
      <c r="I190" s="183">
        <f>J182-H190</f>
        <v>0</v>
      </c>
      <c r="J190" s="183">
        <f>H190-J182</f>
        <v>0</v>
      </c>
      <c r="M190" s="134"/>
    </row>
    <row r="191" spans="1:17">
      <c r="A191" s="107"/>
      <c r="B191" s="107"/>
      <c r="C191" s="107"/>
      <c r="D191" s="107"/>
      <c r="E191" s="108"/>
    </row>
    <row r="192" spans="1:17" ht="18">
      <c r="A192" s="347" t="s">
        <v>28</v>
      </c>
      <c r="B192" s="347"/>
      <c r="C192" s="347" t="s">
        <v>29</v>
      </c>
      <c r="D192" s="347"/>
      <c r="E192" s="347"/>
      <c r="F192" s="1"/>
      <c r="G192" s="347" t="s">
        <v>30</v>
      </c>
      <c r="H192" s="347"/>
    </row>
    <row r="208" spans="1:2" ht="15.6">
      <c r="A208" s="6" t="s">
        <v>0</v>
      </c>
      <c r="B208" s="6"/>
    </row>
    <row r="209" spans="1:20" s="110" customFormat="1" ht="16.8" customHeight="1">
      <c r="A209" s="347" t="s">
        <v>236</v>
      </c>
      <c r="B209" s="347"/>
      <c r="C209" s="347"/>
      <c r="D209" s="347"/>
      <c r="E209" s="347"/>
      <c r="F209" s="347"/>
      <c r="G209" s="347"/>
      <c r="H209" s="347"/>
      <c r="I209" s="181">
        <f>1996200/15</f>
        <v>133080</v>
      </c>
    </row>
    <row r="210" spans="1:20" s="110" customFormat="1" ht="16.8" customHeight="1">
      <c r="A210" s="109"/>
      <c r="B210" s="348" t="s">
        <v>228</v>
      </c>
      <c r="C210" s="348"/>
      <c r="D210" s="348"/>
      <c r="E210" s="348"/>
      <c r="F210" s="348"/>
      <c r="G210" s="348"/>
      <c r="H210" s="348"/>
    </row>
    <row r="211" spans="1:20" ht="15" customHeight="1">
      <c r="A211" s="7" t="s">
        <v>15</v>
      </c>
      <c r="B211" s="8" t="s">
        <v>16</v>
      </c>
      <c r="C211" s="9" t="s">
        <v>17</v>
      </c>
      <c r="D211" s="10" t="s">
        <v>18</v>
      </c>
      <c r="E211" s="45" t="s">
        <v>19</v>
      </c>
      <c r="F211" s="11" t="s">
        <v>5</v>
      </c>
      <c r="G211" s="7" t="s">
        <v>20</v>
      </c>
      <c r="H211" s="7" t="s">
        <v>21</v>
      </c>
      <c r="K211">
        <f>225*17000</f>
        <v>3825000</v>
      </c>
      <c r="L211" t="s">
        <v>33</v>
      </c>
      <c r="N211" s="12" t="s">
        <v>22</v>
      </c>
      <c r="O211" s="92">
        <f>Q211/P211</f>
        <v>0.11931330472103005</v>
      </c>
      <c r="P211" s="17">
        <v>233</v>
      </c>
      <c r="Q211" s="53" t="s">
        <v>108</v>
      </c>
      <c r="R211" s="12" t="s">
        <v>1</v>
      </c>
      <c r="S211" s="13">
        <v>21525</v>
      </c>
      <c r="T211" s="14">
        <f>Q211*S211</f>
        <v>598395</v>
      </c>
    </row>
    <row r="212" spans="1:20" s="117" customFormat="1" ht="15" customHeight="1">
      <c r="A212" s="356" t="s">
        <v>230</v>
      </c>
      <c r="B212" s="98" t="s">
        <v>11</v>
      </c>
      <c r="C212" s="100">
        <f>E212/D212</f>
        <v>0.11982758620689656</v>
      </c>
      <c r="D212" s="12">
        <v>232</v>
      </c>
      <c r="E212" s="98">
        <v>27.8</v>
      </c>
      <c r="F212" s="12" t="s">
        <v>1</v>
      </c>
      <c r="G212" s="99">
        <v>21525</v>
      </c>
      <c r="H212" s="14">
        <f>G212*E212</f>
        <v>598395</v>
      </c>
      <c r="I212" s="116"/>
      <c r="N212" s="38" t="s">
        <v>6</v>
      </c>
      <c r="O212" s="118">
        <f>Q212/P212</f>
        <v>6.5236051502145925E-2</v>
      </c>
      <c r="P212" s="38">
        <v>233</v>
      </c>
      <c r="Q212" s="119" t="s">
        <v>124</v>
      </c>
      <c r="R212" s="38" t="s">
        <v>1</v>
      </c>
      <c r="S212" s="120">
        <v>136500</v>
      </c>
      <c r="T212" s="121">
        <f>Q212*S212</f>
        <v>2074800</v>
      </c>
    </row>
    <row r="213" spans="1:20" s="117" customFormat="1" ht="15" customHeight="1">
      <c r="A213" s="357"/>
      <c r="B213" s="17" t="s">
        <v>129</v>
      </c>
      <c r="C213" s="101">
        <f>E213/D213</f>
        <v>0.10948275862068965</v>
      </c>
      <c r="D213" s="17">
        <v>232</v>
      </c>
      <c r="E213" s="17">
        <v>25.4</v>
      </c>
      <c r="F213" s="17" t="s">
        <v>1</v>
      </c>
      <c r="G213" s="18">
        <v>86100</v>
      </c>
      <c r="H213" s="19">
        <f>G213*E213</f>
        <v>2186940</v>
      </c>
      <c r="I213" s="124">
        <f>232*17000</f>
        <v>3944000</v>
      </c>
      <c r="N213" s="38" t="s">
        <v>34</v>
      </c>
      <c r="O213" s="118">
        <f t="shared" ref="O213:O214" si="43">Q213/P213</f>
        <v>3.004291845493562E-3</v>
      </c>
      <c r="P213" s="38">
        <v>233</v>
      </c>
      <c r="Q213" s="119" t="s">
        <v>35</v>
      </c>
      <c r="R213" s="38" t="s">
        <v>1</v>
      </c>
      <c r="S213" s="120">
        <v>306600</v>
      </c>
      <c r="T213" s="121">
        <f>Q213*S213</f>
        <v>214620</v>
      </c>
    </row>
    <row r="214" spans="1:20" s="117" customFormat="1" ht="19.2" customHeight="1">
      <c r="A214" s="358"/>
      <c r="B214" s="17" t="s">
        <v>130</v>
      </c>
      <c r="C214" s="101">
        <f t="shared" ref="C214:C217" si="44">E214/D214</f>
        <v>3.7499999999999999E-2</v>
      </c>
      <c r="D214" s="17">
        <v>232</v>
      </c>
      <c r="E214" s="17">
        <v>8.6999999999999993</v>
      </c>
      <c r="F214" s="17" t="s">
        <v>1</v>
      </c>
      <c r="G214" s="18">
        <v>67200</v>
      </c>
      <c r="H214" s="19">
        <f t="shared" ref="H214:H217" si="45">G214*E214</f>
        <v>584640</v>
      </c>
      <c r="I214" s="128">
        <f>I213-H221</f>
        <v>0</v>
      </c>
      <c r="J214" s="117" t="s">
        <v>71</v>
      </c>
      <c r="K214" s="117">
        <v>22050</v>
      </c>
      <c r="L214" s="123">
        <f>K214*5</f>
        <v>110250</v>
      </c>
      <c r="M214" s="117" t="s">
        <v>88</v>
      </c>
      <c r="N214" s="38" t="s">
        <v>36</v>
      </c>
      <c r="O214" s="118">
        <f t="shared" si="43"/>
        <v>3.733905579399141E-2</v>
      </c>
      <c r="P214" s="38">
        <v>233</v>
      </c>
      <c r="Q214" s="119" t="s">
        <v>112</v>
      </c>
      <c r="R214" s="38" t="s">
        <v>1</v>
      </c>
      <c r="S214" s="120">
        <v>67200</v>
      </c>
      <c r="T214" s="121">
        <f>Q214*S214</f>
        <v>584640</v>
      </c>
    </row>
    <row r="215" spans="1:20" s="117" customFormat="1" ht="21.6" customHeight="1">
      <c r="A215" s="358"/>
      <c r="B215" s="17" t="s">
        <v>78</v>
      </c>
      <c r="C215" s="101">
        <f t="shared" si="44"/>
        <v>1.2931034482758621E-2</v>
      </c>
      <c r="D215" s="17">
        <v>232</v>
      </c>
      <c r="E215" s="54" t="s">
        <v>48</v>
      </c>
      <c r="F215" s="17" t="s">
        <v>1</v>
      </c>
      <c r="G215" s="18">
        <v>78750</v>
      </c>
      <c r="H215" s="19">
        <f t="shared" si="45"/>
        <v>236250</v>
      </c>
      <c r="J215" s="117" t="s">
        <v>39</v>
      </c>
      <c r="K215" s="117" t="s">
        <v>40</v>
      </c>
      <c r="L215" s="123">
        <f>136500*1</f>
        <v>136500</v>
      </c>
      <c r="N215" s="38" t="s">
        <v>72</v>
      </c>
      <c r="O215" s="38"/>
      <c r="P215" s="38">
        <v>233</v>
      </c>
      <c r="Q215" s="119"/>
      <c r="R215" s="38" t="s">
        <v>27</v>
      </c>
      <c r="S215" s="120">
        <v>1450</v>
      </c>
      <c r="T215" s="121">
        <f>184800+136500</f>
        <v>321300</v>
      </c>
    </row>
    <row r="216" spans="1:20" s="117" customFormat="1" ht="15" customHeight="1">
      <c r="A216" s="358"/>
      <c r="B216" s="17" t="s">
        <v>79</v>
      </c>
      <c r="C216" s="101">
        <f t="shared" si="44"/>
        <v>4.3534482758620686E-2</v>
      </c>
      <c r="D216" s="17">
        <v>232</v>
      </c>
      <c r="E216" s="54" t="s">
        <v>54</v>
      </c>
      <c r="F216" s="17" t="s">
        <v>1</v>
      </c>
      <c r="G216" s="18">
        <v>18900</v>
      </c>
      <c r="H216" s="19">
        <f t="shared" si="45"/>
        <v>190890</v>
      </c>
      <c r="I216" s="124">
        <f>233*17000</f>
        <v>3961000</v>
      </c>
      <c r="J216" s="117" t="s">
        <v>66</v>
      </c>
      <c r="K216" s="117">
        <v>60900</v>
      </c>
      <c r="L216" s="123">
        <f>K216*0.1</f>
        <v>6090</v>
      </c>
      <c r="N216" s="125" t="s">
        <v>25</v>
      </c>
      <c r="O216" s="125"/>
      <c r="P216" s="125"/>
      <c r="Q216" s="126"/>
      <c r="R216" s="127"/>
      <c r="S216" s="125"/>
      <c r="T216" s="121">
        <v>136716</v>
      </c>
    </row>
    <row r="217" spans="1:20" s="117" customFormat="1" ht="15" customHeight="1">
      <c r="A217" s="358"/>
      <c r="B217" s="17" t="s">
        <v>81</v>
      </c>
      <c r="C217" s="101">
        <f t="shared" si="44"/>
        <v>4.3103448275862074E-4</v>
      </c>
      <c r="D217" s="17">
        <v>232</v>
      </c>
      <c r="E217" s="54" t="s">
        <v>46</v>
      </c>
      <c r="F217" s="17" t="s">
        <v>1</v>
      </c>
      <c r="G217" s="18">
        <v>63000</v>
      </c>
      <c r="H217" s="19">
        <f t="shared" si="45"/>
        <v>6300</v>
      </c>
      <c r="I217" s="128">
        <f>H221-I216</f>
        <v>-17000</v>
      </c>
      <c r="L217" s="123"/>
      <c r="N217" s="129"/>
      <c r="O217" s="129"/>
      <c r="P217" s="129"/>
      <c r="Q217" s="130"/>
      <c r="R217" s="131"/>
      <c r="S217" s="129"/>
      <c r="T217" s="132"/>
    </row>
    <row r="218" spans="1:20" s="117" customFormat="1" ht="15" customHeight="1">
      <c r="A218" s="358"/>
      <c r="B218" s="17" t="s">
        <v>229</v>
      </c>
      <c r="C218" s="76"/>
      <c r="D218" s="17"/>
      <c r="E218" s="54" t="s">
        <v>46</v>
      </c>
      <c r="F218" s="68" t="s">
        <v>1</v>
      </c>
      <c r="G218" s="18">
        <v>47250</v>
      </c>
      <c r="H218" s="19">
        <f t="shared" ref="H218:H219" si="46">E218*G218</f>
        <v>4725</v>
      </c>
      <c r="I218" s="128">
        <f>0.1*232</f>
        <v>23.200000000000003</v>
      </c>
      <c r="L218" s="123"/>
      <c r="N218" s="129"/>
      <c r="O218" s="129"/>
      <c r="P218" s="129"/>
      <c r="Q218" s="130"/>
      <c r="R218" s="131"/>
      <c r="S218" s="129"/>
      <c r="T218" s="132"/>
    </row>
    <row r="219" spans="1:20" s="117" customFormat="1" ht="15" customHeight="1">
      <c r="A219" s="358"/>
      <c r="B219" s="38" t="s">
        <v>12</v>
      </c>
      <c r="C219" s="38"/>
      <c r="D219" s="38"/>
      <c r="E219" s="163">
        <v>0.1</v>
      </c>
      <c r="F219" s="38" t="s">
        <v>1</v>
      </c>
      <c r="G219" s="120">
        <v>57750</v>
      </c>
      <c r="H219" s="121">
        <f t="shared" si="46"/>
        <v>5775</v>
      </c>
      <c r="L219" s="123"/>
      <c r="N219" s="129"/>
      <c r="O219" s="129"/>
      <c r="P219" s="129"/>
      <c r="Q219" s="130"/>
      <c r="R219" s="131"/>
      <c r="S219" s="129"/>
      <c r="T219" s="132"/>
    </row>
    <row r="220" spans="1:20" s="117" customFormat="1" ht="15" customHeight="1">
      <c r="A220" s="358"/>
      <c r="B220" s="125" t="s">
        <v>25</v>
      </c>
      <c r="C220" s="125"/>
      <c r="D220" s="125"/>
      <c r="E220" s="126"/>
      <c r="F220" s="127"/>
      <c r="G220" s="125"/>
      <c r="H220" s="278">
        <f>130426-341</f>
        <v>130085</v>
      </c>
      <c r="J220" s="124">
        <v>128426</v>
      </c>
      <c r="L220" s="123"/>
      <c r="N220" s="129"/>
      <c r="O220" s="129"/>
      <c r="P220" s="129"/>
      <c r="Q220" s="130"/>
      <c r="R220" s="131"/>
      <c r="S220" s="129"/>
      <c r="T220" s="132"/>
    </row>
    <row r="221" spans="1:20" s="148" customFormat="1" ht="22.2" customHeight="1">
      <c r="A221" s="359"/>
      <c r="B221" s="298"/>
      <c r="C221" s="298"/>
      <c r="D221" s="298"/>
      <c r="E221" s="299"/>
      <c r="F221" s="300"/>
      <c r="G221" s="298"/>
      <c r="H221" s="301">
        <f>SUM(H212:H220)</f>
        <v>3944000</v>
      </c>
      <c r="I221" s="147">
        <f>I216-H221</f>
        <v>17000</v>
      </c>
      <c r="J221" s="148" t="s">
        <v>114</v>
      </c>
      <c r="K221" s="147">
        <v>68040</v>
      </c>
      <c r="L221" s="147">
        <f>0.1*K221</f>
        <v>6804</v>
      </c>
    </row>
    <row r="222" spans="1:20" s="117" customFormat="1" ht="15" customHeight="1">
      <c r="A222" s="349" t="s">
        <v>231</v>
      </c>
      <c r="B222" s="111" t="s">
        <v>11</v>
      </c>
      <c r="C222" s="112">
        <f>E222/D222</f>
        <v>0.11931330472103005</v>
      </c>
      <c r="D222" s="38">
        <v>233</v>
      </c>
      <c r="E222" s="184">
        <v>27.8</v>
      </c>
      <c r="F222" s="113" t="s">
        <v>1</v>
      </c>
      <c r="G222" s="114">
        <v>21525</v>
      </c>
      <c r="H222" s="115">
        <f>E222*G222</f>
        <v>598395</v>
      </c>
      <c r="I222" s="182">
        <f>H221-I213</f>
        <v>0</v>
      </c>
      <c r="J222" s="128"/>
    </row>
    <row r="223" spans="1:20" s="117" customFormat="1" ht="15" customHeight="1">
      <c r="A223" s="350"/>
      <c r="B223" s="38" t="s">
        <v>42</v>
      </c>
      <c r="C223" s="38">
        <f>E223/D223</f>
        <v>5.8798283261802572E-2</v>
      </c>
      <c r="D223" s="38">
        <v>233</v>
      </c>
      <c r="E223" s="163">
        <v>13.7</v>
      </c>
      <c r="F223" s="38" t="s">
        <v>1</v>
      </c>
      <c r="G223" s="120">
        <v>169560</v>
      </c>
      <c r="H223" s="121">
        <f>E223*G223</f>
        <v>2322972</v>
      </c>
      <c r="I223" s="123">
        <f>232*17000</f>
        <v>3944000</v>
      </c>
      <c r="J223" s="124">
        <f>232*17000</f>
        <v>3944000</v>
      </c>
    </row>
    <row r="224" spans="1:20" s="117" customFormat="1" ht="15" customHeight="1">
      <c r="A224" s="350"/>
      <c r="B224" s="38" t="s">
        <v>43</v>
      </c>
      <c r="C224" s="38">
        <f t="shared" ref="C224:C226" si="47">E224/D224</f>
        <v>0.5622317596566524</v>
      </c>
      <c r="D224" s="38">
        <v>233</v>
      </c>
      <c r="E224" s="163">
        <v>131</v>
      </c>
      <c r="F224" s="38" t="s">
        <v>1</v>
      </c>
      <c r="G224" s="120">
        <v>3456</v>
      </c>
      <c r="H224" s="121">
        <f t="shared" ref="H224:H229" si="48">E224*G224</f>
        <v>452736</v>
      </c>
    </row>
    <row r="225" spans="1:17" s="117" customFormat="1" ht="15" customHeight="1">
      <c r="A225" s="350"/>
      <c r="B225" s="38" t="s">
        <v>44</v>
      </c>
      <c r="C225" s="38">
        <f t="shared" si="47"/>
        <v>2.6609442060085836E-2</v>
      </c>
      <c r="D225" s="38">
        <v>233</v>
      </c>
      <c r="E225" s="163">
        <v>6.2</v>
      </c>
      <c r="F225" s="38" t="s">
        <v>1</v>
      </c>
      <c r="G225" s="120">
        <v>23100</v>
      </c>
      <c r="H225" s="121">
        <f t="shared" si="48"/>
        <v>143220</v>
      </c>
      <c r="I225" s="135">
        <f>I223-H231</f>
        <v>0</v>
      </c>
      <c r="K225" s="113" t="s">
        <v>22</v>
      </c>
      <c r="L225" s="140">
        <f>N225/M225</f>
        <v>0.11982758620689656</v>
      </c>
      <c r="M225" s="159">
        <v>232</v>
      </c>
      <c r="N225" s="187" t="s">
        <v>108</v>
      </c>
      <c r="O225" s="160" t="s">
        <v>1</v>
      </c>
      <c r="P225" s="141">
        <v>21525</v>
      </c>
      <c r="Q225" s="161">
        <f>N225*P225</f>
        <v>598395</v>
      </c>
    </row>
    <row r="226" spans="1:17" s="117" customFormat="1" ht="15" customHeight="1">
      <c r="A226" s="350"/>
      <c r="B226" s="38" t="s">
        <v>153</v>
      </c>
      <c r="C226" s="142">
        <f t="shared" si="47"/>
        <v>4.2918454935622317E-3</v>
      </c>
      <c r="D226" s="38">
        <v>233</v>
      </c>
      <c r="E226" s="163">
        <v>1</v>
      </c>
      <c r="F226" s="38" t="s">
        <v>4</v>
      </c>
      <c r="G226" s="120">
        <v>141750</v>
      </c>
      <c r="H226" s="121">
        <f t="shared" si="48"/>
        <v>141750</v>
      </c>
      <c r="K226" s="162" t="s">
        <v>52</v>
      </c>
      <c r="L226" s="142">
        <f>N226/M226</f>
        <v>5.3017241379310347E-2</v>
      </c>
      <c r="M226" s="164">
        <v>232</v>
      </c>
      <c r="N226" s="188" t="s">
        <v>204</v>
      </c>
      <c r="O226" s="38" t="s">
        <v>1</v>
      </c>
      <c r="P226" s="165">
        <v>178200</v>
      </c>
      <c r="Q226" s="121">
        <f t="shared" ref="Q226:Q232" si="49">N226*P226</f>
        <v>2191860</v>
      </c>
    </row>
    <row r="227" spans="1:17" s="117" customFormat="1" ht="15" customHeight="1">
      <c r="A227" s="350"/>
      <c r="B227" s="38" t="s">
        <v>55</v>
      </c>
      <c r="C227" s="163"/>
      <c r="D227" s="38"/>
      <c r="E227" s="163">
        <v>0.1</v>
      </c>
      <c r="F227" s="38" t="s">
        <v>4</v>
      </c>
      <c r="G227" s="120">
        <v>36750</v>
      </c>
      <c r="H227" s="121">
        <f t="shared" si="48"/>
        <v>3675</v>
      </c>
      <c r="K227" s="162"/>
      <c r="L227" s="142"/>
      <c r="M227" s="164"/>
      <c r="N227" s="188"/>
      <c r="O227" s="38"/>
      <c r="P227" s="165"/>
      <c r="Q227" s="121"/>
    </row>
    <row r="228" spans="1:17" s="117" customFormat="1" ht="15" customHeight="1">
      <c r="A228" s="350"/>
      <c r="B228" s="162" t="s">
        <v>154</v>
      </c>
      <c r="C228" s="163"/>
      <c r="D228" s="166"/>
      <c r="E228" s="185">
        <v>7.7</v>
      </c>
      <c r="F228" s="38" t="s">
        <v>1</v>
      </c>
      <c r="G228" s="120">
        <v>18900</v>
      </c>
      <c r="H228" s="121">
        <f t="shared" si="48"/>
        <v>145530</v>
      </c>
      <c r="K228" s="162" t="s">
        <v>53</v>
      </c>
      <c r="L228" s="142">
        <f t="shared" ref="L228:L230" si="50">N228/M228</f>
        <v>3.4482758620689655E-2</v>
      </c>
      <c r="M228" s="164">
        <v>232</v>
      </c>
      <c r="N228" s="188" t="s">
        <v>23</v>
      </c>
      <c r="O228" s="38" t="s">
        <v>1</v>
      </c>
      <c r="P228" s="165">
        <v>89250</v>
      </c>
      <c r="Q228" s="121">
        <f t="shared" si="49"/>
        <v>714000</v>
      </c>
    </row>
    <row r="229" spans="1:17" s="117" customFormat="1" ht="15" customHeight="1">
      <c r="A229" s="350"/>
      <c r="B229" s="38" t="s">
        <v>12</v>
      </c>
      <c r="C229" s="38"/>
      <c r="D229" s="38"/>
      <c r="E229" s="163">
        <v>0.1</v>
      </c>
      <c r="F229" s="38" t="s">
        <v>1</v>
      </c>
      <c r="G229" s="120">
        <v>57750</v>
      </c>
      <c r="H229" s="121">
        <f t="shared" si="48"/>
        <v>5775</v>
      </c>
      <c r="K229" s="38" t="s">
        <v>153</v>
      </c>
      <c r="L229" s="142">
        <f t="shared" si="50"/>
        <v>4.3103448275862068E-3</v>
      </c>
      <c r="M229" s="164">
        <v>232</v>
      </c>
      <c r="N229" s="163">
        <v>1</v>
      </c>
      <c r="O229" s="38" t="s">
        <v>4</v>
      </c>
      <c r="P229" s="120">
        <v>137550</v>
      </c>
      <c r="Q229" s="121">
        <f t="shared" si="49"/>
        <v>137550</v>
      </c>
    </row>
    <row r="230" spans="1:17" s="117" customFormat="1" ht="15" customHeight="1">
      <c r="A230" s="351"/>
      <c r="B230" s="125" t="s">
        <v>25</v>
      </c>
      <c r="C230" s="125"/>
      <c r="D230" s="125"/>
      <c r="E230" s="126"/>
      <c r="F230" s="127"/>
      <c r="G230" s="125"/>
      <c r="H230" s="278">
        <f>130426-479</f>
        <v>129947</v>
      </c>
      <c r="I230" s="117">
        <v>130426</v>
      </c>
      <c r="K230" s="38" t="s">
        <v>55</v>
      </c>
      <c r="L230" s="163">
        <f t="shared" si="50"/>
        <v>4.3103448275862074E-4</v>
      </c>
      <c r="M230" s="164">
        <v>232</v>
      </c>
      <c r="N230" s="163">
        <v>0.1</v>
      </c>
      <c r="O230" s="38" t="s">
        <v>4</v>
      </c>
      <c r="P230" s="120">
        <v>36750</v>
      </c>
      <c r="Q230" s="121">
        <f t="shared" si="49"/>
        <v>3675</v>
      </c>
    </row>
    <row r="231" spans="1:17" s="148" customFormat="1" ht="18.600000000000001" customHeight="1">
      <c r="A231" s="149"/>
      <c r="B231" s="150"/>
      <c r="C231" s="151"/>
      <c r="D231" s="151"/>
      <c r="E231" s="152"/>
      <c r="F231" s="153"/>
      <c r="G231" s="150"/>
      <c r="H231" s="154">
        <f>SUM(H222:H230)</f>
        <v>3944000</v>
      </c>
      <c r="I231" s="183">
        <f>I223-H231</f>
        <v>0</v>
      </c>
      <c r="K231" s="162" t="s">
        <v>149</v>
      </c>
      <c r="L231" s="163"/>
      <c r="M231" s="166"/>
      <c r="N231" s="185">
        <v>6.7</v>
      </c>
      <c r="O231" s="38" t="s">
        <v>1</v>
      </c>
      <c r="P231" s="120">
        <v>24150</v>
      </c>
      <c r="Q231" s="121">
        <f t="shared" si="49"/>
        <v>161805</v>
      </c>
    </row>
    <row r="232" spans="1:17" s="232" customFormat="1" ht="15" customHeight="1">
      <c r="A232" s="241"/>
      <c r="B232" s="111" t="s">
        <v>22</v>
      </c>
      <c r="C232" s="264">
        <f>E232/D232</f>
        <v>0.11931330472103005</v>
      </c>
      <c r="D232" s="213">
        <v>233</v>
      </c>
      <c r="E232" s="187" t="s">
        <v>108</v>
      </c>
      <c r="F232" s="265" t="s">
        <v>1</v>
      </c>
      <c r="G232" s="266">
        <v>21525</v>
      </c>
      <c r="H232" s="267">
        <f>E232*G232</f>
        <v>598395</v>
      </c>
      <c r="K232" s="38" t="s">
        <v>66</v>
      </c>
      <c r="L232" s="146"/>
      <c r="M232" s="38"/>
      <c r="N232" s="119" t="s">
        <v>46</v>
      </c>
      <c r="O232" s="38" t="s">
        <v>1</v>
      </c>
      <c r="P232" s="120">
        <v>57750</v>
      </c>
      <c r="Q232" s="121">
        <f t="shared" si="49"/>
        <v>5775</v>
      </c>
    </row>
    <row r="233" spans="1:17" s="232" customFormat="1" ht="15" customHeight="1">
      <c r="A233" s="360" t="s">
        <v>232</v>
      </c>
      <c r="B233" s="265" t="s">
        <v>184</v>
      </c>
      <c r="C233" s="268">
        <f t="shared" ref="C233:C235" si="51">E233/D233</f>
        <v>7.8969957081545056E-2</v>
      </c>
      <c r="D233" s="213">
        <v>233</v>
      </c>
      <c r="E233" s="187" t="s">
        <v>238</v>
      </c>
      <c r="F233" s="213" t="s">
        <v>1</v>
      </c>
      <c r="G233" s="266">
        <v>129150</v>
      </c>
      <c r="H233" s="271">
        <f>G233*E233</f>
        <v>2376360</v>
      </c>
      <c r="K233" s="167" t="s">
        <v>25</v>
      </c>
      <c r="L233" s="146"/>
      <c r="M233" s="168"/>
      <c r="N233" s="169"/>
      <c r="O233" s="164" t="s">
        <v>1</v>
      </c>
      <c r="P233" s="120"/>
      <c r="Q233" s="133">
        <f>130426+514</f>
        <v>130940</v>
      </c>
    </row>
    <row r="234" spans="1:17" s="232" customFormat="1" ht="19.2" customHeight="1">
      <c r="A234" s="360"/>
      <c r="B234" s="38" t="s">
        <v>153</v>
      </c>
      <c r="C234" s="142">
        <f t="shared" si="51"/>
        <v>4.2918454935622317E-3</v>
      </c>
      <c r="D234" s="164">
        <v>233</v>
      </c>
      <c r="E234" s="163">
        <v>1</v>
      </c>
      <c r="F234" s="38" t="s">
        <v>4</v>
      </c>
      <c r="G234" s="120">
        <v>141750</v>
      </c>
      <c r="H234" s="121">
        <f t="shared" ref="H234" si="52">E234*G234</f>
        <v>141750</v>
      </c>
      <c r="I234" s="256">
        <f>232*17000</f>
        <v>3944000</v>
      </c>
      <c r="J234" s="231" t="e">
        <f>#REF!*15</f>
        <v>#REF!</v>
      </c>
      <c r="K234" s="231"/>
      <c r="L234" s="231"/>
    </row>
    <row r="235" spans="1:17" s="232" customFormat="1" ht="15" customHeight="1">
      <c r="A235" s="360"/>
      <c r="B235" s="213" t="s">
        <v>7</v>
      </c>
      <c r="C235" s="272">
        <f t="shared" si="51"/>
        <v>0.5622317596566524</v>
      </c>
      <c r="D235" s="213">
        <v>233</v>
      </c>
      <c r="E235" s="273" t="s">
        <v>185</v>
      </c>
      <c r="F235" s="213" t="s">
        <v>1</v>
      </c>
      <c r="G235" s="270">
        <v>3510</v>
      </c>
      <c r="H235" s="271">
        <f>E235*G235</f>
        <v>459810</v>
      </c>
      <c r="K235" s="231"/>
      <c r="L235" s="231"/>
    </row>
    <row r="236" spans="1:17" s="232" customFormat="1" ht="15" customHeight="1">
      <c r="A236" s="360"/>
      <c r="B236" s="213" t="s">
        <v>187</v>
      </c>
      <c r="C236" s="272"/>
      <c r="D236" s="213"/>
      <c r="E236" s="273" t="s">
        <v>189</v>
      </c>
      <c r="F236" s="213" t="s">
        <v>188</v>
      </c>
      <c r="G236" s="270">
        <v>37800</v>
      </c>
      <c r="H236" s="271">
        <f>E236*G236</f>
        <v>75600</v>
      </c>
      <c r="K236" s="231"/>
      <c r="L236" s="231"/>
    </row>
    <row r="237" spans="1:17" s="232" customFormat="1" ht="15" customHeight="1">
      <c r="A237" s="360"/>
      <c r="B237" s="213" t="s">
        <v>197</v>
      </c>
      <c r="C237" s="272"/>
      <c r="D237" s="213"/>
      <c r="E237" s="273" t="s">
        <v>26</v>
      </c>
      <c r="F237" s="213" t="s">
        <v>4</v>
      </c>
      <c r="G237" s="270">
        <v>44280</v>
      </c>
      <c r="H237" s="271">
        <f>E237*G237</f>
        <v>44280</v>
      </c>
      <c r="K237" s="231"/>
      <c r="L237" s="231"/>
    </row>
    <row r="238" spans="1:17" s="232" customFormat="1" ht="15" customHeight="1">
      <c r="A238" s="360"/>
      <c r="B238" s="213" t="s">
        <v>198</v>
      </c>
      <c r="C238" s="272"/>
      <c r="D238" s="213"/>
      <c r="E238" s="273" t="s">
        <v>227</v>
      </c>
      <c r="F238" s="213" t="s">
        <v>1</v>
      </c>
      <c r="G238" s="270">
        <v>24150</v>
      </c>
      <c r="H238" s="271">
        <f t="shared" ref="H238:H240" si="53">E238*G238</f>
        <v>125580</v>
      </c>
      <c r="K238" s="12" t="s">
        <v>22</v>
      </c>
      <c r="L238" s="142">
        <f t="shared" ref="L238:L241" si="54">N238/M238</f>
        <v>0.11982758620689656</v>
      </c>
      <c r="M238" s="17">
        <v>232</v>
      </c>
      <c r="N238" s="286" t="s">
        <v>108</v>
      </c>
      <c r="O238" s="12" t="s">
        <v>1</v>
      </c>
      <c r="P238" s="13">
        <v>21525</v>
      </c>
      <c r="Q238" s="14">
        <f>N238*P238</f>
        <v>598395</v>
      </c>
    </row>
    <row r="239" spans="1:17" s="232" customFormat="1" ht="15" customHeight="1">
      <c r="A239" s="360"/>
      <c r="B239" s="213" t="s">
        <v>41</v>
      </c>
      <c r="C239" s="268"/>
      <c r="D239" s="213"/>
      <c r="E239" s="273" t="s">
        <v>46</v>
      </c>
      <c r="F239" s="213" t="s">
        <v>4</v>
      </c>
      <c r="G239" s="120">
        <v>36750</v>
      </c>
      <c r="H239" s="121">
        <f t="shared" si="53"/>
        <v>3675</v>
      </c>
      <c r="K239" s="15"/>
      <c r="L239" s="142"/>
      <c r="M239" s="17"/>
      <c r="N239" s="303"/>
      <c r="O239" s="15"/>
      <c r="P239" s="40"/>
      <c r="Q239" s="16"/>
    </row>
    <row r="240" spans="1:17" s="232" customFormat="1" ht="15" customHeight="1">
      <c r="A240" s="360"/>
      <c r="B240" s="213" t="s">
        <v>12</v>
      </c>
      <c r="C240" s="216"/>
      <c r="D240" s="213"/>
      <c r="E240" s="274">
        <v>0.1</v>
      </c>
      <c r="F240" s="213" t="s">
        <v>1</v>
      </c>
      <c r="G240" s="120">
        <v>57750</v>
      </c>
      <c r="H240" s="121">
        <f t="shared" si="53"/>
        <v>5775</v>
      </c>
      <c r="I240" s="263">
        <f>233*17000</f>
        <v>3961000</v>
      </c>
      <c r="K240" s="38" t="s">
        <v>87</v>
      </c>
      <c r="L240" s="142">
        <f t="shared" si="54"/>
        <v>7.1551724137931039E-2</v>
      </c>
      <c r="M240" s="17">
        <v>232</v>
      </c>
      <c r="N240" s="42">
        <v>16.600000000000001</v>
      </c>
      <c r="O240" s="38" t="s">
        <v>1</v>
      </c>
      <c r="P240" s="120">
        <v>140700</v>
      </c>
      <c r="Q240" s="121">
        <f>N240*P240-1892</f>
        <v>2333728</v>
      </c>
    </row>
    <row r="241" spans="1:17" s="232" customFormat="1" ht="15" customHeight="1">
      <c r="A241" s="360"/>
      <c r="B241" s="275" t="s">
        <v>25</v>
      </c>
      <c r="C241" s="275"/>
      <c r="D241" s="275"/>
      <c r="E241" s="276"/>
      <c r="F241" s="277"/>
      <c r="G241" s="275"/>
      <c r="H241" s="278">
        <f>130426-651</f>
        <v>129775</v>
      </c>
      <c r="K241" s="38" t="s">
        <v>36</v>
      </c>
      <c r="L241" s="144">
        <f t="shared" si="54"/>
        <v>3.5344827586206891E-2</v>
      </c>
      <c r="M241" s="17">
        <v>232</v>
      </c>
      <c r="N241" s="287" t="s">
        <v>37</v>
      </c>
      <c r="O241" s="38" t="s">
        <v>1</v>
      </c>
      <c r="P241" s="120">
        <v>67200</v>
      </c>
      <c r="Q241" s="121">
        <f>N241*P241</f>
        <v>551040</v>
      </c>
    </row>
    <row r="242" spans="1:17" s="134" customFormat="1" ht="20.399999999999999" customHeight="1">
      <c r="A242" s="218"/>
      <c r="B242" s="20"/>
      <c r="C242" s="20"/>
      <c r="D242" s="20"/>
      <c r="E242" s="56"/>
      <c r="F242" s="21"/>
      <c r="G242" s="20"/>
      <c r="H242" s="5">
        <f>SUM(H232:H241)</f>
        <v>3961000</v>
      </c>
      <c r="I242" s="217">
        <f>H242-I240</f>
        <v>0</v>
      </c>
      <c r="K242" s="17" t="s">
        <v>44</v>
      </c>
      <c r="L242" s="17"/>
      <c r="M242" s="17">
        <v>232</v>
      </c>
      <c r="N242" s="302">
        <v>3.1</v>
      </c>
      <c r="O242" s="17" t="s">
        <v>1</v>
      </c>
      <c r="P242" s="19">
        <v>21000</v>
      </c>
      <c r="Q242" s="19">
        <f>N242*P242</f>
        <v>65100</v>
      </c>
    </row>
    <row r="243" spans="1:17" s="134" customFormat="1" ht="20.399999999999999" customHeight="1">
      <c r="A243" s="353" t="s">
        <v>233</v>
      </c>
      <c r="B243" s="113" t="s">
        <v>22</v>
      </c>
      <c r="C243" s="140">
        <f>E243/D243</f>
        <v>0.11931330472103005</v>
      </c>
      <c r="D243" s="38">
        <v>233</v>
      </c>
      <c r="E243" s="186" t="s">
        <v>108</v>
      </c>
      <c r="F243" s="113" t="s">
        <v>1</v>
      </c>
      <c r="G243" s="141">
        <v>21525</v>
      </c>
      <c r="H243" s="115">
        <f>E243*G243</f>
        <v>598395</v>
      </c>
      <c r="I243" s="217"/>
      <c r="K243" s="17" t="s">
        <v>45</v>
      </c>
      <c r="L243" s="17"/>
      <c r="M243" s="17">
        <v>232</v>
      </c>
      <c r="N243" s="192">
        <v>1</v>
      </c>
      <c r="O243" s="17" t="s">
        <v>1</v>
      </c>
      <c r="P243" s="19">
        <v>164850</v>
      </c>
      <c r="Q243" s="19">
        <f t="shared" ref="Q243:Q246" si="55">N243*P243</f>
        <v>164850</v>
      </c>
    </row>
    <row r="244" spans="1:17" s="134" customFormat="1" ht="20.399999999999999" customHeight="1">
      <c r="A244" s="354"/>
      <c r="B244" s="38" t="s">
        <v>87</v>
      </c>
      <c r="C244" s="142">
        <f t="shared" ref="C244:C245" si="56">E244/D244</f>
        <v>6.9527896995708147E-2</v>
      </c>
      <c r="D244" s="38">
        <v>233</v>
      </c>
      <c r="E244" s="143">
        <v>16.2</v>
      </c>
      <c r="F244" s="38" t="s">
        <v>1</v>
      </c>
      <c r="G244" s="120">
        <v>140700</v>
      </c>
      <c r="H244" s="121">
        <f>E244*G244-1892</f>
        <v>2277448</v>
      </c>
      <c r="I244" s="217"/>
      <c r="J244" s="134">
        <f>231-2</f>
        <v>229</v>
      </c>
      <c r="K244" s="17" t="s">
        <v>14</v>
      </c>
      <c r="L244" s="17"/>
      <c r="M244" s="17"/>
      <c r="N244" s="302">
        <v>4.3</v>
      </c>
      <c r="O244" s="17" t="s">
        <v>1</v>
      </c>
      <c r="P244" s="18">
        <v>21000</v>
      </c>
      <c r="Q244" s="19">
        <f t="shared" si="55"/>
        <v>90300</v>
      </c>
    </row>
    <row r="245" spans="1:17" s="134" customFormat="1" ht="20.399999999999999" customHeight="1">
      <c r="A245" s="354"/>
      <c r="B245" s="38" t="s">
        <v>130</v>
      </c>
      <c r="C245" s="144">
        <f t="shared" si="56"/>
        <v>3.1759656652360517E-2</v>
      </c>
      <c r="D245" s="38">
        <v>233</v>
      </c>
      <c r="E245" s="287" t="s">
        <v>139</v>
      </c>
      <c r="F245" s="38" t="s">
        <v>1</v>
      </c>
      <c r="G245" s="120">
        <v>67200</v>
      </c>
      <c r="H245" s="121">
        <f>E245*G245</f>
        <v>497280</v>
      </c>
      <c r="I245" s="217"/>
      <c r="K245" s="17" t="s">
        <v>12</v>
      </c>
      <c r="L245" s="17"/>
      <c r="M245" s="17"/>
      <c r="N245" s="287" t="s">
        <v>46</v>
      </c>
      <c r="O245" s="17" t="s">
        <v>1</v>
      </c>
      <c r="P245" s="120">
        <v>57750</v>
      </c>
      <c r="Q245" s="121">
        <f t="shared" si="55"/>
        <v>5775</v>
      </c>
    </row>
    <row r="246" spans="1:17" s="134" customFormat="1" ht="20.399999999999999" customHeight="1">
      <c r="A246" s="354"/>
      <c r="B246" s="38" t="s">
        <v>78</v>
      </c>
      <c r="C246" s="144"/>
      <c r="D246" s="38">
        <v>233</v>
      </c>
      <c r="E246" s="119" t="s">
        <v>48</v>
      </c>
      <c r="F246" s="38" t="s">
        <v>1</v>
      </c>
      <c r="G246" s="120">
        <v>78750</v>
      </c>
      <c r="H246" s="121">
        <f t="shared" ref="H246:H250" si="57">E246*G246</f>
        <v>236250</v>
      </c>
      <c r="I246" s="217">
        <f>233*17000</f>
        <v>3961000</v>
      </c>
      <c r="K246" s="20" t="s">
        <v>41</v>
      </c>
      <c r="L246" s="35"/>
      <c r="M246" s="17"/>
      <c r="N246" s="288" t="s">
        <v>46</v>
      </c>
      <c r="O246" s="17" t="s">
        <v>1</v>
      </c>
      <c r="P246" s="120">
        <v>36750</v>
      </c>
      <c r="Q246" s="121">
        <f t="shared" si="55"/>
        <v>3675</v>
      </c>
    </row>
    <row r="247" spans="1:17" s="134" customFormat="1" ht="20.399999999999999" customHeight="1">
      <c r="A247" s="354"/>
      <c r="B247" s="38" t="s">
        <v>79</v>
      </c>
      <c r="C247" s="144"/>
      <c r="D247" s="38">
        <v>233</v>
      </c>
      <c r="E247" s="119" t="s">
        <v>237</v>
      </c>
      <c r="F247" s="38" t="s">
        <v>4</v>
      </c>
      <c r="G247" s="120">
        <v>20478</v>
      </c>
      <c r="H247" s="121">
        <f t="shared" si="57"/>
        <v>204780</v>
      </c>
      <c r="I247" s="217"/>
      <c r="K247" s="20" t="s">
        <v>25</v>
      </c>
      <c r="L247" s="20"/>
      <c r="M247" s="20"/>
      <c r="N247" s="56"/>
      <c r="O247" s="21"/>
      <c r="P247" s="20"/>
      <c r="Q247" s="285">
        <f>130426+711</f>
        <v>131137</v>
      </c>
    </row>
    <row r="248" spans="1:17" s="134" customFormat="1" ht="20.399999999999999" customHeight="1">
      <c r="A248" s="354"/>
      <c r="B248" s="38" t="s">
        <v>81</v>
      </c>
      <c r="C248" s="38"/>
      <c r="D248" s="38"/>
      <c r="E248" s="119" t="s">
        <v>46</v>
      </c>
      <c r="F248" s="38" t="s">
        <v>1</v>
      </c>
      <c r="G248" s="120">
        <v>63000</v>
      </c>
      <c r="H248" s="121">
        <f t="shared" si="57"/>
        <v>6300</v>
      </c>
      <c r="I248" s="217"/>
      <c r="K248" s="213" t="s">
        <v>34</v>
      </c>
      <c r="L248" s="272">
        <f t="shared" ref="L248:L250" si="58">N248/M248</f>
        <v>3.3333333333333333E-2</v>
      </c>
      <c r="M248" s="213">
        <v>21</v>
      </c>
      <c r="N248" s="273" t="s">
        <v>35</v>
      </c>
      <c r="O248" s="213" t="s">
        <v>1</v>
      </c>
      <c r="P248" s="270">
        <v>304500</v>
      </c>
      <c r="Q248" s="271">
        <f>N248*P248</f>
        <v>213150</v>
      </c>
    </row>
    <row r="249" spans="1:17" s="134" customFormat="1" ht="20.399999999999999" customHeight="1">
      <c r="A249" s="354"/>
      <c r="B249" s="38" t="s">
        <v>66</v>
      </c>
      <c r="C249" s="146"/>
      <c r="D249" s="38"/>
      <c r="E249" s="119" t="s">
        <v>46</v>
      </c>
      <c r="F249" s="38" t="s">
        <v>1</v>
      </c>
      <c r="G249" s="120">
        <v>60900</v>
      </c>
      <c r="H249" s="121">
        <f t="shared" si="57"/>
        <v>6090</v>
      </c>
      <c r="I249" s="217">
        <f>H252-I246</f>
        <v>0</v>
      </c>
      <c r="K249" s="213" t="s">
        <v>36</v>
      </c>
      <c r="L249" s="272">
        <f t="shared" si="58"/>
        <v>3.9301310043668124E-2</v>
      </c>
      <c r="M249" s="213">
        <v>229</v>
      </c>
      <c r="N249" s="273" t="s">
        <v>145</v>
      </c>
      <c r="O249" s="213" t="s">
        <v>1</v>
      </c>
      <c r="P249" s="270">
        <v>67200</v>
      </c>
      <c r="Q249" s="271">
        <f>N249*P249</f>
        <v>604800</v>
      </c>
    </row>
    <row r="250" spans="1:17" s="134" customFormat="1" ht="20.399999999999999" customHeight="1">
      <c r="A250" s="354"/>
      <c r="B250" s="38" t="s">
        <v>82</v>
      </c>
      <c r="C250" s="125"/>
      <c r="D250" s="38"/>
      <c r="E250" s="119" t="s">
        <v>46</v>
      </c>
      <c r="F250" s="38" t="s">
        <v>1</v>
      </c>
      <c r="G250" s="120">
        <v>42000</v>
      </c>
      <c r="H250" s="121">
        <f t="shared" si="57"/>
        <v>4200</v>
      </c>
      <c r="I250" s="217"/>
      <c r="K250" s="213" t="s">
        <v>94</v>
      </c>
      <c r="L250" s="272">
        <f t="shared" si="58"/>
        <v>3.2314410480349345E-2</v>
      </c>
      <c r="M250" s="213">
        <v>229</v>
      </c>
      <c r="N250" s="273" t="s">
        <v>139</v>
      </c>
      <c r="O250" s="213" t="s">
        <v>1</v>
      </c>
      <c r="P250" s="270">
        <v>22050</v>
      </c>
      <c r="Q250" s="271">
        <f t="shared" ref="Q250" si="59">N250*P250</f>
        <v>163170</v>
      </c>
    </row>
    <row r="251" spans="1:17" s="134" customFormat="1" ht="20.399999999999999" customHeight="1">
      <c r="A251" s="289"/>
      <c r="B251" s="275" t="s">
        <v>25</v>
      </c>
      <c r="C251" s="275"/>
      <c r="D251" s="275"/>
      <c r="E251" s="276"/>
      <c r="F251" s="277"/>
      <c r="G251" s="275"/>
      <c r="H251" s="278">
        <f>130426-169</f>
        <v>130257</v>
      </c>
      <c r="I251" s="217"/>
      <c r="K251" s="290"/>
      <c r="L251" s="272"/>
      <c r="M251" s="290"/>
      <c r="N251" s="291"/>
      <c r="O251" s="290"/>
      <c r="P251" s="292"/>
      <c r="Q251" s="293"/>
    </row>
    <row r="252" spans="1:17" s="134" customFormat="1" ht="20.399999999999999" customHeight="1">
      <c r="A252" s="218"/>
      <c r="B252" s="294"/>
      <c r="C252" s="220"/>
      <c r="D252" s="294"/>
      <c r="E252" s="295"/>
      <c r="F252" s="294"/>
      <c r="G252" s="296"/>
      <c r="H252" s="297">
        <f>SUM(H243:H251)</f>
        <v>3961000</v>
      </c>
      <c r="I252" s="217">
        <f>H252-I246</f>
        <v>0</v>
      </c>
      <c r="K252" s="275" t="s">
        <v>25</v>
      </c>
      <c r="L252" s="275"/>
      <c r="M252" s="275"/>
      <c r="N252" s="276"/>
      <c r="O252" s="277"/>
      <c r="P252" s="275"/>
      <c r="Q252" s="278">
        <f>136716+1538</f>
        <v>138254</v>
      </c>
    </row>
    <row r="253" spans="1:17" s="134" customFormat="1" ht="15" customHeight="1">
      <c r="A253" s="346" t="s">
        <v>234</v>
      </c>
      <c r="B253" s="113" t="s">
        <v>22</v>
      </c>
      <c r="C253" s="140">
        <f>E253/D253</f>
        <v>0.11931330472103005</v>
      </c>
      <c r="D253" s="159">
        <v>233</v>
      </c>
      <c r="E253" s="187" t="s">
        <v>108</v>
      </c>
      <c r="F253" s="160" t="s">
        <v>1</v>
      </c>
      <c r="G253" s="141">
        <v>21525</v>
      </c>
      <c r="H253" s="161">
        <f>E253*G253</f>
        <v>598395</v>
      </c>
      <c r="I253" s="284"/>
      <c r="J253" s="217"/>
    </row>
    <row r="254" spans="1:17" s="134" customFormat="1" ht="15" customHeight="1">
      <c r="A254" s="346"/>
      <c r="B254" s="213" t="s">
        <v>6</v>
      </c>
      <c r="C254" s="142">
        <f>E254/D254</f>
        <v>5.3218884120171672E-2</v>
      </c>
      <c r="D254" s="164">
        <v>233</v>
      </c>
      <c r="E254" s="188" t="s">
        <v>235</v>
      </c>
      <c r="F254" s="38" t="s">
        <v>1</v>
      </c>
      <c r="G254" s="165">
        <v>178200</v>
      </c>
      <c r="H254" s="121">
        <f t="shared" ref="H254:H259" si="60">E254*G254</f>
        <v>2209680</v>
      </c>
      <c r="J254" s="280">
        <f>232*17000</f>
        <v>3944000</v>
      </c>
    </row>
    <row r="255" spans="1:17" s="134" customFormat="1" ht="15" customHeight="1">
      <c r="A255" s="346"/>
      <c r="B255" s="213" t="s">
        <v>34</v>
      </c>
      <c r="C255" s="142">
        <f t="shared" ref="C255:C257" si="61">E255/D255</f>
        <v>3.4334763948497854E-2</v>
      </c>
      <c r="D255" s="164">
        <v>233</v>
      </c>
      <c r="E255" s="188" t="s">
        <v>23</v>
      </c>
      <c r="F255" s="38" t="s">
        <v>1</v>
      </c>
      <c r="G255" s="165">
        <v>89250</v>
      </c>
      <c r="H255" s="121">
        <f t="shared" si="60"/>
        <v>714000</v>
      </c>
    </row>
    <row r="256" spans="1:17" s="134" customFormat="1" ht="15" customHeight="1">
      <c r="A256" s="346"/>
      <c r="B256" s="213" t="s">
        <v>36</v>
      </c>
      <c r="C256" s="142">
        <f t="shared" si="61"/>
        <v>4.2918454935622317E-3</v>
      </c>
      <c r="D256" s="164">
        <v>233</v>
      </c>
      <c r="E256" s="163">
        <v>1</v>
      </c>
      <c r="F256" s="38" t="s">
        <v>4</v>
      </c>
      <c r="G256" s="120">
        <v>137550</v>
      </c>
      <c r="H256" s="121">
        <f t="shared" si="60"/>
        <v>137550</v>
      </c>
    </row>
    <row r="257" spans="1:13" s="134" customFormat="1" ht="15" customHeight="1">
      <c r="A257" s="279"/>
      <c r="B257" s="162" t="s">
        <v>154</v>
      </c>
      <c r="C257" s="163">
        <f t="shared" si="61"/>
        <v>4.2918454935622321E-4</v>
      </c>
      <c r="D257" s="164">
        <v>233</v>
      </c>
      <c r="E257" s="163">
        <v>0.1</v>
      </c>
      <c r="F257" s="38" t="s">
        <v>4</v>
      </c>
      <c r="G257" s="120">
        <v>36750</v>
      </c>
      <c r="H257" s="121">
        <f t="shared" si="60"/>
        <v>3675</v>
      </c>
    </row>
    <row r="258" spans="1:13" s="134" customFormat="1" ht="15" customHeight="1">
      <c r="A258" s="279"/>
      <c r="B258" s="162" t="s">
        <v>149</v>
      </c>
      <c r="C258" s="163"/>
      <c r="D258" s="166"/>
      <c r="E258" s="185">
        <v>6.7</v>
      </c>
      <c r="F258" s="38" t="s">
        <v>1</v>
      </c>
      <c r="G258" s="120">
        <v>24150</v>
      </c>
      <c r="H258" s="121">
        <f t="shared" si="60"/>
        <v>161805</v>
      </c>
    </row>
    <row r="259" spans="1:13" s="134" customFormat="1" ht="15" customHeight="1">
      <c r="A259" s="279"/>
      <c r="B259" s="38" t="s">
        <v>66</v>
      </c>
      <c r="C259" s="146"/>
      <c r="D259" s="38"/>
      <c r="E259" s="119" t="s">
        <v>46</v>
      </c>
      <c r="F259" s="38" t="s">
        <v>1</v>
      </c>
      <c r="G259" s="120">
        <v>57750</v>
      </c>
      <c r="H259" s="121">
        <f t="shared" si="60"/>
        <v>5775</v>
      </c>
    </row>
    <row r="260" spans="1:13" s="134" customFormat="1" ht="15" customHeight="1">
      <c r="A260" s="279"/>
      <c r="B260" s="167" t="s">
        <v>25</v>
      </c>
      <c r="C260" s="146"/>
      <c r="D260" s="168"/>
      <c r="E260" s="169"/>
      <c r="F260" s="164" t="s">
        <v>1</v>
      </c>
      <c r="G260" s="120"/>
      <c r="H260" s="133">
        <f>130426-306</f>
        <v>130120</v>
      </c>
      <c r="I260" s="304">
        <f>233*17000</f>
        <v>3961000</v>
      </c>
    </row>
    <row r="261" spans="1:13" s="155" customFormat="1" ht="19.8" customHeight="1">
      <c r="A261" s="222"/>
      <c r="B261" s="175"/>
      <c r="C261" s="175"/>
      <c r="D261" s="175"/>
      <c r="E261" s="223"/>
      <c r="F261" s="224"/>
      <c r="G261" s="175"/>
      <c r="H261" s="225">
        <f>SUM(H253:H260)</f>
        <v>3961000</v>
      </c>
      <c r="I261" s="183">
        <f>H261-I260</f>
        <v>0</v>
      </c>
      <c r="J261" s="183">
        <f>H261-J254</f>
        <v>17000</v>
      </c>
      <c r="M261" s="134"/>
    </row>
    <row r="262" spans="1:13">
      <c r="A262" s="107"/>
      <c r="B262" s="107"/>
      <c r="C262" s="107"/>
      <c r="D262" s="107"/>
      <c r="E262" s="108"/>
    </row>
    <row r="263" spans="1:13" ht="18">
      <c r="A263" s="347" t="s">
        <v>28</v>
      </c>
      <c r="B263" s="347"/>
      <c r="C263" s="347" t="s">
        <v>29</v>
      </c>
      <c r="D263" s="347"/>
      <c r="E263" s="347"/>
      <c r="F263" s="1"/>
      <c r="G263" s="347" t="s">
        <v>30</v>
      </c>
      <c r="H263" s="347"/>
    </row>
    <row r="264" spans="1:13" ht="18">
      <c r="A264" s="33"/>
      <c r="B264" s="33"/>
      <c r="C264" s="33"/>
      <c r="D264" s="33"/>
      <c r="E264" s="33"/>
      <c r="F264" s="1"/>
      <c r="G264" s="33"/>
      <c r="H264" s="33"/>
    </row>
    <row r="265" spans="1:13" ht="18">
      <c r="A265" s="33"/>
      <c r="B265" s="33"/>
      <c r="C265" s="33"/>
      <c r="D265" s="33"/>
      <c r="E265" s="33"/>
      <c r="F265" s="1"/>
      <c r="G265" s="33"/>
      <c r="H265" s="33"/>
    </row>
    <row r="266" spans="1:13" ht="18">
      <c r="A266" s="33"/>
      <c r="B266" s="33"/>
      <c r="C266" s="33"/>
      <c r="D266" s="33"/>
      <c r="E266" s="33"/>
      <c r="F266" s="1"/>
      <c r="G266" s="33"/>
      <c r="H266" s="33"/>
    </row>
    <row r="267" spans="1:13" ht="18">
      <c r="A267" s="33"/>
      <c r="B267" s="33"/>
      <c r="C267" s="33"/>
      <c r="D267" s="33"/>
      <c r="E267" s="33"/>
      <c r="F267" s="1"/>
      <c r="G267" s="33"/>
      <c r="H267" s="33"/>
    </row>
    <row r="268" spans="1:13" ht="18">
      <c r="A268" s="33"/>
      <c r="B268" s="33"/>
      <c r="C268" s="33"/>
      <c r="D268" s="33"/>
      <c r="E268" s="33"/>
      <c r="F268" s="1"/>
      <c r="G268" s="33"/>
      <c r="H268" s="33"/>
    </row>
    <row r="269" spans="1:13" ht="18">
      <c r="A269" s="33"/>
      <c r="B269" s="33"/>
      <c r="C269" s="33"/>
      <c r="D269" s="33"/>
      <c r="E269" s="33"/>
      <c r="F269" s="1"/>
      <c r="G269" s="33"/>
      <c r="H269" s="33"/>
    </row>
    <row r="270" spans="1:13" ht="18">
      <c r="A270" s="33"/>
      <c r="B270" s="33"/>
      <c r="C270" s="33"/>
      <c r="D270" s="33"/>
      <c r="E270" s="33"/>
      <c r="F270" s="1"/>
      <c r="G270" s="33"/>
      <c r="H270" s="33"/>
    </row>
    <row r="271" spans="1:13" ht="18">
      <c r="A271" s="33"/>
      <c r="B271" s="33"/>
      <c r="C271" s="33"/>
      <c r="D271" s="33"/>
      <c r="E271" s="33"/>
      <c r="F271" s="1"/>
      <c r="G271" s="33"/>
      <c r="H271" s="33"/>
    </row>
    <row r="272" spans="1:13" ht="18">
      <c r="A272" s="33"/>
      <c r="B272" s="33"/>
      <c r="C272" s="33"/>
      <c r="D272" s="33"/>
      <c r="E272" s="33"/>
      <c r="F272" s="1"/>
      <c r="G272" s="33"/>
      <c r="H272" s="33"/>
    </row>
    <row r="273" spans="1:8" ht="18">
      <c r="A273" s="33"/>
      <c r="B273" s="33"/>
      <c r="C273" s="33"/>
      <c r="D273" s="33"/>
      <c r="E273" s="33"/>
      <c r="F273" s="1"/>
      <c r="G273" s="33"/>
      <c r="H273" s="33"/>
    </row>
    <row r="274" spans="1:8" ht="18">
      <c r="A274" s="33"/>
      <c r="B274" s="33"/>
      <c r="C274" s="33"/>
      <c r="D274" s="33"/>
      <c r="E274" s="33"/>
      <c r="F274" s="1"/>
      <c r="G274" s="33"/>
      <c r="H274" s="33"/>
    </row>
    <row r="275" spans="1:8" ht="18">
      <c r="A275" s="33"/>
      <c r="B275" s="33"/>
      <c r="C275" s="33"/>
      <c r="D275" s="33"/>
      <c r="E275" s="33"/>
      <c r="F275" s="1"/>
      <c r="G275" s="33"/>
      <c r="H275" s="33"/>
    </row>
    <row r="276" spans="1:8" ht="18">
      <c r="A276" s="33"/>
      <c r="B276" s="33"/>
      <c r="C276" s="33"/>
      <c r="D276" s="33"/>
      <c r="E276" s="33"/>
      <c r="F276" s="1"/>
      <c r="G276" s="33"/>
      <c r="H276" s="33"/>
    </row>
    <row r="277" spans="1:8" ht="18">
      <c r="A277" s="33"/>
      <c r="B277" s="33"/>
      <c r="C277" s="33"/>
      <c r="D277" s="33"/>
      <c r="E277" s="33"/>
      <c r="F277" s="1"/>
      <c r="G277" s="33"/>
      <c r="H277" s="33"/>
    </row>
    <row r="278" spans="1:8" ht="18">
      <c r="A278" s="33"/>
      <c r="B278" s="33"/>
      <c r="C278" s="33"/>
      <c r="D278" s="33"/>
      <c r="E278" s="33"/>
      <c r="F278" s="1"/>
      <c r="G278" s="33"/>
      <c r="H278" s="33"/>
    </row>
    <row r="279" spans="1:8" ht="18">
      <c r="A279" s="33"/>
      <c r="B279" s="33"/>
      <c r="C279" s="33"/>
      <c r="D279" s="33"/>
      <c r="E279" s="33"/>
      <c r="F279" s="1"/>
      <c r="G279" s="33"/>
      <c r="H279" s="33"/>
    </row>
    <row r="280" spans="1:8" ht="18">
      <c r="A280" s="33"/>
      <c r="B280" s="33"/>
      <c r="C280" s="33"/>
      <c r="D280" s="33"/>
      <c r="E280" s="33"/>
      <c r="F280" s="1"/>
      <c r="G280" s="33"/>
      <c r="H280" s="33"/>
    </row>
    <row r="281" spans="1:8" ht="18">
      <c r="A281" s="33"/>
      <c r="B281" s="33"/>
      <c r="C281" s="33"/>
      <c r="D281" s="33"/>
      <c r="E281" s="33"/>
      <c r="F281" s="1"/>
      <c r="G281" s="33"/>
      <c r="H281" s="33"/>
    </row>
    <row r="282" spans="1:8" ht="18">
      <c r="A282" s="33"/>
      <c r="B282" s="33"/>
      <c r="C282" s="33"/>
      <c r="D282" s="33"/>
      <c r="E282" s="33"/>
      <c r="F282" s="1"/>
      <c r="G282" s="33"/>
      <c r="H282" s="33"/>
    </row>
    <row r="283" spans="1:8" ht="18">
      <c r="A283" s="33"/>
      <c r="B283" s="33"/>
      <c r="C283" s="33"/>
      <c r="D283" s="33"/>
      <c r="E283" s="33"/>
      <c r="F283" s="1"/>
      <c r="G283" s="33"/>
      <c r="H283" s="33"/>
    </row>
    <row r="284" spans="1:8" ht="18">
      <c r="A284" s="33"/>
      <c r="B284" s="33"/>
      <c r="C284" s="33"/>
      <c r="D284" s="33"/>
      <c r="E284" s="33"/>
      <c r="F284" s="1"/>
      <c r="G284" s="33"/>
      <c r="H284" s="33"/>
    </row>
    <row r="285" spans="1:8" ht="18">
      <c r="A285" s="33"/>
      <c r="B285" s="33"/>
      <c r="C285" s="33"/>
      <c r="D285" s="33"/>
      <c r="E285" s="33"/>
      <c r="F285" s="1"/>
      <c r="G285" s="33"/>
      <c r="H285" s="33"/>
    </row>
    <row r="286" spans="1:8" ht="18">
      <c r="A286" s="33"/>
      <c r="B286" s="33"/>
      <c r="C286" s="33"/>
      <c r="D286" s="33"/>
      <c r="E286" s="33"/>
      <c r="F286" s="1"/>
      <c r="G286" s="33"/>
      <c r="H286" s="33"/>
    </row>
    <row r="287" spans="1:8" ht="18">
      <c r="A287" s="33"/>
      <c r="B287" s="33"/>
      <c r="C287" s="33"/>
      <c r="D287" s="33"/>
      <c r="E287" s="33"/>
      <c r="F287" s="1"/>
      <c r="G287" s="33"/>
      <c r="H287" s="33"/>
    </row>
    <row r="288" spans="1:8" ht="18">
      <c r="A288" s="33"/>
      <c r="B288" s="33"/>
      <c r="C288" s="33"/>
      <c r="D288" s="33"/>
      <c r="E288" s="33"/>
      <c r="F288" s="1"/>
      <c r="G288" s="33"/>
      <c r="H288" s="33"/>
    </row>
    <row r="289" spans="1:20" ht="18">
      <c r="A289" s="33"/>
      <c r="B289" s="33"/>
      <c r="C289" s="33"/>
      <c r="D289" s="33"/>
      <c r="E289" s="33"/>
      <c r="F289" s="1"/>
      <c r="G289" s="33"/>
      <c r="H289" s="33"/>
    </row>
    <row r="290" spans="1:20" ht="18">
      <c r="A290" s="33"/>
      <c r="B290" s="33"/>
      <c r="C290" s="33"/>
      <c r="D290" s="33"/>
      <c r="E290" s="33"/>
      <c r="F290" s="1"/>
      <c r="G290" s="33"/>
      <c r="H290" s="33"/>
    </row>
    <row r="298" spans="1:20" ht="15.6">
      <c r="A298" s="6" t="s">
        <v>0</v>
      </c>
      <c r="B298" s="6"/>
    </row>
    <row r="299" spans="1:20" s="110" customFormat="1" ht="16.8" customHeight="1">
      <c r="A299" s="347" t="s">
        <v>176</v>
      </c>
      <c r="B299" s="347"/>
      <c r="C299" s="347"/>
      <c r="D299" s="347"/>
      <c r="E299" s="347"/>
      <c r="F299" s="347"/>
      <c r="G299" s="347"/>
      <c r="H299" s="347"/>
      <c r="I299" s="181">
        <f>1996200/15</f>
        <v>133080</v>
      </c>
    </row>
    <row r="300" spans="1:20" s="110" customFormat="1" ht="16.8" customHeight="1">
      <c r="A300" s="109"/>
      <c r="B300" s="348" t="s">
        <v>221</v>
      </c>
      <c r="C300" s="348"/>
      <c r="D300" s="348"/>
      <c r="E300" s="348"/>
      <c r="F300" s="348"/>
      <c r="G300" s="348"/>
      <c r="H300" s="348"/>
    </row>
    <row r="301" spans="1:20" ht="15" customHeight="1">
      <c r="A301" s="7" t="s">
        <v>15</v>
      </c>
      <c r="B301" s="8" t="s">
        <v>16</v>
      </c>
      <c r="C301" s="9" t="s">
        <v>17</v>
      </c>
      <c r="D301" s="10" t="s">
        <v>18</v>
      </c>
      <c r="E301" s="45" t="s">
        <v>19</v>
      </c>
      <c r="F301" s="11" t="s">
        <v>5</v>
      </c>
      <c r="G301" s="7" t="s">
        <v>20</v>
      </c>
      <c r="H301" s="7" t="s">
        <v>21</v>
      </c>
      <c r="K301">
        <f>225*17000</f>
        <v>3825000</v>
      </c>
      <c r="L301" t="s">
        <v>33</v>
      </c>
      <c r="N301" s="12" t="s">
        <v>22</v>
      </c>
      <c r="O301" s="92">
        <f>Q301/P301</f>
        <v>0.11931330472103005</v>
      </c>
      <c r="P301" s="17">
        <v>233</v>
      </c>
      <c r="Q301" s="53" t="s">
        <v>108</v>
      </c>
      <c r="R301" s="12" t="s">
        <v>1</v>
      </c>
      <c r="S301" s="13">
        <v>21525</v>
      </c>
      <c r="T301" s="14">
        <f>Q301*S301</f>
        <v>598395</v>
      </c>
    </row>
    <row r="302" spans="1:20" s="117" customFormat="1" ht="15" customHeight="1">
      <c r="A302" s="356" t="s">
        <v>222</v>
      </c>
      <c r="B302" s="111" t="s">
        <v>11</v>
      </c>
      <c r="C302" s="112">
        <f>E302/D302</f>
        <v>0.11974248927038626</v>
      </c>
      <c r="D302" s="38">
        <v>233</v>
      </c>
      <c r="E302" s="184">
        <v>27.9</v>
      </c>
      <c r="F302" s="113" t="s">
        <v>1</v>
      </c>
      <c r="G302" s="114">
        <v>21525</v>
      </c>
      <c r="H302" s="115">
        <f>E302*G302</f>
        <v>600547.5</v>
      </c>
      <c r="I302" s="116"/>
      <c r="N302" s="38" t="s">
        <v>6</v>
      </c>
      <c r="O302" s="118">
        <f>Q302/P302</f>
        <v>6.5236051502145925E-2</v>
      </c>
      <c r="P302" s="38">
        <v>233</v>
      </c>
      <c r="Q302" s="119" t="s">
        <v>124</v>
      </c>
      <c r="R302" s="38" t="s">
        <v>1</v>
      </c>
      <c r="S302" s="120">
        <v>136500</v>
      </c>
      <c r="T302" s="121">
        <f>Q302*S302</f>
        <v>2074800</v>
      </c>
    </row>
    <row r="303" spans="1:20" s="117" customFormat="1" ht="15" customHeight="1">
      <c r="A303" s="357"/>
      <c r="B303" s="38" t="s">
        <v>42</v>
      </c>
      <c r="C303" s="38">
        <f>E303/D303</f>
        <v>5.9227467811158799E-2</v>
      </c>
      <c r="D303" s="38">
        <v>233</v>
      </c>
      <c r="E303" s="163">
        <v>13.8</v>
      </c>
      <c r="F303" s="38" t="s">
        <v>1</v>
      </c>
      <c r="G303" s="120">
        <v>169560</v>
      </c>
      <c r="H303" s="121">
        <f>E303*G303</f>
        <v>2339928</v>
      </c>
      <c r="I303" s="124">
        <f>233*17000</f>
        <v>3961000</v>
      </c>
      <c r="N303" s="38" t="s">
        <v>34</v>
      </c>
      <c r="O303" s="118">
        <f t="shared" ref="O303:O304" si="62">Q303/P303</f>
        <v>3.004291845493562E-3</v>
      </c>
      <c r="P303" s="38">
        <v>233</v>
      </c>
      <c r="Q303" s="119" t="s">
        <v>35</v>
      </c>
      <c r="R303" s="38" t="s">
        <v>1</v>
      </c>
      <c r="S303" s="120">
        <v>306600</v>
      </c>
      <c r="T303" s="121">
        <f>Q303*S303</f>
        <v>214620</v>
      </c>
    </row>
    <row r="304" spans="1:20" s="117" customFormat="1" ht="15" customHeight="1">
      <c r="A304" s="358"/>
      <c r="B304" s="38" t="s">
        <v>43</v>
      </c>
      <c r="C304" s="38">
        <f t="shared" ref="C304:C306" si="63">E304/D304</f>
        <v>0.5622317596566524</v>
      </c>
      <c r="D304" s="38">
        <v>233</v>
      </c>
      <c r="E304" s="163">
        <v>131</v>
      </c>
      <c r="F304" s="38" t="s">
        <v>1</v>
      </c>
      <c r="G304" s="120">
        <v>3456</v>
      </c>
      <c r="H304" s="121">
        <f t="shared" ref="H304:H309" si="64">E304*G304</f>
        <v>452736</v>
      </c>
      <c r="I304" s="128">
        <f>I303-H311</f>
        <v>0.5</v>
      </c>
      <c r="J304" s="117" t="s">
        <v>71</v>
      </c>
      <c r="K304" s="117">
        <v>22050</v>
      </c>
      <c r="L304" s="123">
        <f>K304*5</f>
        <v>110250</v>
      </c>
      <c r="M304" s="117" t="s">
        <v>88</v>
      </c>
      <c r="N304" s="38" t="s">
        <v>36</v>
      </c>
      <c r="O304" s="118">
        <f t="shared" si="62"/>
        <v>3.733905579399141E-2</v>
      </c>
      <c r="P304" s="38">
        <v>233</v>
      </c>
      <c r="Q304" s="119" t="s">
        <v>112</v>
      </c>
      <c r="R304" s="38" t="s">
        <v>1</v>
      </c>
      <c r="S304" s="120">
        <v>67200</v>
      </c>
      <c r="T304" s="121">
        <f>Q304*S304</f>
        <v>584640</v>
      </c>
    </row>
    <row r="305" spans="1:20" s="117" customFormat="1" ht="15" customHeight="1">
      <c r="A305" s="358"/>
      <c r="B305" s="38" t="s">
        <v>44</v>
      </c>
      <c r="C305" s="38">
        <f t="shared" si="63"/>
        <v>2.6180257510729613E-2</v>
      </c>
      <c r="D305" s="38">
        <v>233</v>
      </c>
      <c r="E305" s="163">
        <v>6.1</v>
      </c>
      <c r="F305" s="38" t="s">
        <v>1</v>
      </c>
      <c r="G305" s="120">
        <v>23100</v>
      </c>
      <c r="H305" s="121">
        <f t="shared" si="64"/>
        <v>140910</v>
      </c>
      <c r="J305" s="117" t="s">
        <v>39</v>
      </c>
      <c r="K305" s="117" t="s">
        <v>40</v>
      </c>
      <c r="L305" s="123">
        <f>136500*1</f>
        <v>136500</v>
      </c>
      <c r="N305" s="38" t="s">
        <v>72</v>
      </c>
      <c r="O305" s="38"/>
      <c r="P305" s="38">
        <v>233</v>
      </c>
      <c r="Q305" s="119"/>
      <c r="R305" s="38" t="s">
        <v>27</v>
      </c>
      <c r="S305" s="120">
        <v>1450</v>
      </c>
      <c r="T305" s="121">
        <f>184800+136500</f>
        <v>321300</v>
      </c>
    </row>
    <row r="306" spans="1:20" s="117" customFormat="1" ht="15" customHeight="1">
      <c r="A306" s="358"/>
      <c r="B306" s="38" t="s">
        <v>153</v>
      </c>
      <c r="C306" s="142">
        <f t="shared" si="63"/>
        <v>4.2918454935622317E-3</v>
      </c>
      <c r="D306" s="38">
        <v>233</v>
      </c>
      <c r="E306" s="163">
        <v>1</v>
      </c>
      <c r="F306" s="38" t="s">
        <v>4</v>
      </c>
      <c r="G306" s="120">
        <v>141750</v>
      </c>
      <c r="H306" s="121">
        <f t="shared" si="64"/>
        <v>141750</v>
      </c>
      <c r="I306" s="124">
        <f>229*17000</f>
        <v>3893000</v>
      </c>
      <c r="J306" s="117" t="s">
        <v>66</v>
      </c>
      <c r="K306" s="117">
        <v>60900</v>
      </c>
      <c r="L306" s="123">
        <f>K306*0.1</f>
        <v>6090</v>
      </c>
      <c r="N306" s="125" t="s">
        <v>25</v>
      </c>
      <c r="O306" s="125"/>
      <c r="P306" s="125"/>
      <c r="Q306" s="126"/>
      <c r="R306" s="127"/>
      <c r="S306" s="125"/>
      <c r="T306" s="121">
        <v>136716</v>
      </c>
    </row>
    <row r="307" spans="1:20" s="117" customFormat="1" ht="15" customHeight="1">
      <c r="A307" s="358"/>
      <c r="B307" s="38" t="s">
        <v>55</v>
      </c>
      <c r="C307" s="163"/>
      <c r="D307" s="38"/>
      <c r="E307" s="163">
        <v>0.1</v>
      </c>
      <c r="F307" s="38" t="s">
        <v>4</v>
      </c>
      <c r="G307" s="120">
        <v>36750</v>
      </c>
      <c r="H307" s="121">
        <f t="shared" si="64"/>
        <v>3675</v>
      </c>
      <c r="I307" s="128">
        <f>H311-I306</f>
        <v>67999.5</v>
      </c>
      <c r="L307" s="123"/>
      <c r="N307" s="129"/>
      <c r="O307" s="129"/>
      <c r="P307" s="129"/>
      <c r="Q307" s="130"/>
      <c r="R307" s="131"/>
      <c r="S307" s="129"/>
      <c r="T307" s="132"/>
    </row>
    <row r="308" spans="1:20" s="117" customFormat="1" ht="15" customHeight="1">
      <c r="A308" s="358"/>
      <c r="B308" s="162" t="s">
        <v>154</v>
      </c>
      <c r="C308" s="163"/>
      <c r="D308" s="166"/>
      <c r="E308" s="185">
        <v>7.7</v>
      </c>
      <c r="F308" s="38" t="s">
        <v>1</v>
      </c>
      <c r="G308" s="120">
        <v>18900</v>
      </c>
      <c r="H308" s="121">
        <f t="shared" si="64"/>
        <v>145530</v>
      </c>
      <c r="I308" s="128"/>
      <c r="L308" s="123"/>
      <c r="N308" s="129"/>
      <c r="O308" s="129"/>
      <c r="P308" s="129"/>
      <c r="Q308" s="130"/>
      <c r="R308" s="131"/>
      <c r="S308" s="129"/>
      <c r="T308" s="132"/>
    </row>
    <row r="309" spans="1:20" s="117" customFormat="1" ht="15" customHeight="1">
      <c r="A309" s="358"/>
      <c r="B309" s="38" t="s">
        <v>12</v>
      </c>
      <c r="C309" s="38"/>
      <c r="D309" s="38"/>
      <c r="E309" s="163">
        <v>0.1</v>
      </c>
      <c r="F309" s="38" t="s">
        <v>1</v>
      </c>
      <c r="G309" s="120">
        <v>57750</v>
      </c>
      <c r="H309" s="121">
        <f t="shared" si="64"/>
        <v>5775</v>
      </c>
      <c r="L309" s="123"/>
      <c r="N309" s="129"/>
      <c r="O309" s="129"/>
      <c r="P309" s="129"/>
      <c r="Q309" s="130"/>
      <c r="R309" s="131"/>
      <c r="S309" s="129"/>
      <c r="T309" s="132"/>
    </row>
    <row r="310" spans="1:20" s="117" customFormat="1" ht="15" customHeight="1">
      <c r="A310" s="358"/>
      <c r="B310" s="125" t="s">
        <v>25</v>
      </c>
      <c r="C310" s="125"/>
      <c r="D310" s="125"/>
      <c r="E310" s="126"/>
      <c r="F310" s="127"/>
      <c r="G310" s="125"/>
      <c r="H310" s="278">
        <f>130426-278</f>
        <v>130148</v>
      </c>
      <c r="J310" s="124">
        <v>128426</v>
      </c>
      <c r="L310" s="123"/>
      <c r="N310" s="129"/>
      <c r="O310" s="129"/>
      <c r="P310" s="129"/>
      <c r="Q310" s="130"/>
      <c r="R310" s="131"/>
      <c r="S310" s="129"/>
      <c r="T310" s="132"/>
    </row>
    <row r="311" spans="1:20" s="148" customFormat="1" ht="22.2" customHeight="1">
      <c r="A311" s="359"/>
      <c r="B311" s="298"/>
      <c r="C311" s="298"/>
      <c r="D311" s="298"/>
      <c r="E311" s="299"/>
      <c r="F311" s="300"/>
      <c r="G311" s="298"/>
      <c r="H311" s="301">
        <f>SUM(H302:H310)</f>
        <v>3960999.5</v>
      </c>
      <c r="I311" s="147">
        <f>H311-I303</f>
        <v>-0.5</v>
      </c>
      <c r="J311" s="148" t="s">
        <v>114</v>
      </c>
      <c r="K311" s="147">
        <v>68040</v>
      </c>
      <c r="L311" s="147">
        <f>0.1*K311</f>
        <v>6804</v>
      </c>
    </row>
    <row r="312" spans="1:20" s="117" customFormat="1" ht="15" customHeight="1">
      <c r="A312" s="349" t="s">
        <v>223</v>
      </c>
      <c r="B312" s="113" t="s">
        <v>22</v>
      </c>
      <c r="C312" s="140">
        <f>E312/D312</f>
        <v>0.11982758620689656</v>
      </c>
      <c r="D312" s="159">
        <v>232</v>
      </c>
      <c r="E312" s="187" t="s">
        <v>108</v>
      </c>
      <c r="F312" s="160" t="s">
        <v>1</v>
      </c>
      <c r="G312" s="141">
        <v>21525</v>
      </c>
      <c r="H312" s="161">
        <f>E312*G312</f>
        <v>598395</v>
      </c>
      <c r="I312" s="182">
        <f>H311-I303</f>
        <v>-0.5</v>
      </c>
      <c r="J312" s="128"/>
    </row>
    <row r="313" spans="1:20" s="117" customFormat="1" ht="15" customHeight="1">
      <c r="A313" s="350"/>
      <c r="B313" s="162" t="s">
        <v>52</v>
      </c>
      <c r="C313" s="142">
        <f>E313/D313</f>
        <v>5.3017241379310347E-2</v>
      </c>
      <c r="D313" s="164">
        <v>232</v>
      </c>
      <c r="E313" s="188" t="s">
        <v>204</v>
      </c>
      <c r="F313" s="38" t="s">
        <v>1</v>
      </c>
      <c r="G313" s="165">
        <v>178200</v>
      </c>
      <c r="H313" s="121">
        <f t="shared" ref="H313:H318" si="65">E313*G313</f>
        <v>2191860</v>
      </c>
      <c r="I313" s="123">
        <f>232*17000</f>
        <v>3944000</v>
      </c>
      <c r="J313" s="124">
        <f>232*17000</f>
        <v>3944000</v>
      </c>
    </row>
    <row r="314" spans="1:20" s="117" customFormat="1" ht="15" customHeight="1">
      <c r="A314" s="350"/>
      <c r="B314" s="162" t="s">
        <v>53</v>
      </c>
      <c r="C314" s="142">
        <f t="shared" ref="C314:C316" si="66">E314/D314</f>
        <v>3.4482758620689655E-2</v>
      </c>
      <c r="D314" s="164">
        <v>232</v>
      </c>
      <c r="E314" s="188" t="s">
        <v>23</v>
      </c>
      <c r="F314" s="38" t="s">
        <v>1</v>
      </c>
      <c r="G314" s="165">
        <v>89250</v>
      </c>
      <c r="H314" s="121">
        <f t="shared" si="65"/>
        <v>714000</v>
      </c>
    </row>
    <row r="315" spans="1:20" s="117" customFormat="1" ht="15" customHeight="1">
      <c r="A315" s="350"/>
      <c r="B315" s="38" t="s">
        <v>153</v>
      </c>
      <c r="C315" s="142">
        <f t="shared" si="66"/>
        <v>4.3103448275862068E-3</v>
      </c>
      <c r="D315" s="164">
        <v>232</v>
      </c>
      <c r="E315" s="163">
        <v>1</v>
      </c>
      <c r="F315" s="38" t="s">
        <v>4</v>
      </c>
      <c r="G315" s="120">
        <v>137550</v>
      </c>
      <c r="H315" s="121">
        <f t="shared" si="65"/>
        <v>137550</v>
      </c>
      <c r="I315" s="135">
        <f>I313-H320</f>
        <v>0</v>
      </c>
    </row>
    <row r="316" spans="1:20" s="117" customFormat="1" ht="15" customHeight="1">
      <c r="A316" s="350"/>
      <c r="B316" s="38" t="s">
        <v>55</v>
      </c>
      <c r="C316" s="163">
        <f t="shared" si="66"/>
        <v>4.3103448275862074E-4</v>
      </c>
      <c r="D316" s="164">
        <v>232</v>
      </c>
      <c r="E316" s="163">
        <v>0.1</v>
      </c>
      <c r="F316" s="38" t="s">
        <v>4</v>
      </c>
      <c r="G316" s="120">
        <v>36750</v>
      </c>
      <c r="H316" s="121">
        <f t="shared" si="65"/>
        <v>3675</v>
      </c>
    </row>
    <row r="317" spans="1:20" s="117" customFormat="1" ht="15" customHeight="1">
      <c r="A317" s="350"/>
      <c r="B317" s="162" t="s">
        <v>149</v>
      </c>
      <c r="C317" s="163"/>
      <c r="D317" s="166"/>
      <c r="E317" s="185">
        <v>6.7</v>
      </c>
      <c r="F317" s="38" t="s">
        <v>1</v>
      </c>
      <c r="G317" s="120">
        <v>24150</v>
      </c>
      <c r="H317" s="121">
        <f t="shared" si="65"/>
        <v>161805</v>
      </c>
    </row>
    <row r="318" spans="1:20" s="117" customFormat="1" ht="15" customHeight="1">
      <c r="A318" s="350"/>
      <c r="B318" s="38" t="s">
        <v>66</v>
      </c>
      <c r="C318" s="146"/>
      <c r="D318" s="38"/>
      <c r="E318" s="119" t="s">
        <v>46</v>
      </c>
      <c r="F318" s="38" t="s">
        <v>1</v>
      </c>
      <c r="G318" s="120">
        <v>57750</v>
      </c>
      <c r="H318" s="121">
        <f t="shared" si="65"/>
        <v>5775</v>
      </c>
    </row>
    <row r="319" spans="1:20" s="117" customFormat="1" ht="15" customHeight="1">
      <c r="A319" s="351"/>
      <c r="B319" s="167" t="s">
        <v>25</v>
      </c>
      <c r="C319" s="146"/>
      <c r="D319" s="168"/>
      <c r="E319" s="169"/>
      <c r="F319" s="164" t="s">
        <v>1</v>
      </c>
      <c r="G319" s="120"/>
      <c r="H319" s="133">
        <f>130426+514</f>
        <v>130940</v>
      </c>
      <c r="I319" s="117">
        <v>130426</v>
      </c>
    </row>
    <row r="320" spans="1:20" s="148" customFormat="1" ht="18.600000000000001" customHeight="1">
      <c r="A320" s="149"/>
      <c r="B320" s="150"/>
      <c r="C320" s="151"/>
      <c r="D320" s="151"/>
      <c r="E320" s="152"/>
      <c r="F320" s="153"/>
      <c r="G320" s="150"/>
      <c r="H320" s="154">
        <f>SUM(H312:H319)</f>
        <v>3944000</v>
      </c>
      <c r="I320" s="183">
        <f>I313-H320</f>
        <v>0</v>
      </c>
      <c r="L320" s="156"/>
      <c r="M320" s="157"/>
    </row>
    <row r="321" spans="1:17" s="232" customFormat="1" ht="15" customHeight="1">
      <c r="A321" s="241"/>
      <c r="B321" s="12" t="s">
        <v>22</v>
      </c>
      <c r="C321" s="142">
        <f t="shared" ref="C321:C323" si="67">E321/D321</f>
        <v>1.2636363636363637</v>
      </c>
      <c r="D321" s="17">
        <v>22</v>
      </c>
      <c r="E321" s="286" t="s">
        <v>108</v>
      </c>
      <c r="F321" s="12" t="s">
        <v>1</v>
      </c>
      <c r="G321" s="13">
        <v>21525</v>
      </c>
      <c r="H321" s="14">
        <f>E321*G321</f>
        <v>598395</v>
      </c>
      <c r="K321" s="231"/>
      <c r="L321" s="231"/>
    </row>
    <row r="322" spans="1:17" s="232" customFormat="1" ht="15" customHeight="1">
      <c r="A322" s="360" t="s">
        <v>224</v>
      </c>
      <c r="B322" s="38" t="s">
        <v>87</v>
      </c>
      <c r="C322" s="142">
        <f t="shared" si="67"/>
        <v>7.2413793103448282E-2</v>
      </c>
      <c r="D322" s="38">
        <v>232</v>
      </c>
      <c r="E322" s="42">
        <v>16.8</v>
      </c>
      <c r="F322" s="38" t="s">
        <v>1</v>
      </c>
      <c r="G322" s="120">
        <v>140700</v>
      </c>
      <c r="H322" s="121">
        <f>E322*G322-1892</f>
        <v>2361868</v>
      </c>
      <c r="K322" s="231"/>
      <c r="L322" s="231"/>
    </row>
    <row r="323" spans="1:17" s="232" customFormat="1" ht="19.2" customHeight="1">
      <c r="A323" s="360"/>
      <c r="B323" s="38" t="s">
        <v>36</v>
      </c>
      <c r="C323" s="144">
        <f t="shared" si="67"/>
        <v>3.017241379310345E-2</v>
      </c>
      <c r="D323" s="38">
        <v>232</v>
      </c>
      <c r="E323" s="287" t="s">
        <v>131</v>
      </c>
      <c r="F323" s="38" t="s">
        <v>1</v>
      </c>
      <c r="G323" s="120">
        <v>67200</v>
      </c>
      <c r="H323" s="121">
        <f>E323*G323</f>
        <v>470400</v>
      </c>
      <c r="I323" s="256">
        <f>232*17000</f>
        <v>3944000</v>
      </c>
      <c r="J323" s="231" t="e">
        <f>#REF!*15</f>
        <v>#REF!</v>
      </c>
      <c r="K323" s="231"/>
      <c r="L323" s="231"/>
    </row>
    <row r="324" spans="1:17" s="232" customFormat="1" ht="15" customHeight="1">
      <c r="A324" s="360"/>
      <c r="B324" s="17" t="s">
        <v>44</v>
      </c>
      <c r="C324" s="17"/>
      <c r="D324" s="17">
        <v>232</v>
      </c>
      <c r="E324" s="192">
        <v>2.2000000000000002</v>
      </c>
      <c r="F324" s="17" t="s">
        <v>1</v>
      </c>
      <c r="G324" s="19">
        <v>21000</v>
      </c>
      <c r="H324" s="19">
        <f>E324*G324</f>
        <v>46200.000000000007</v>
      </c>
      <c r="K324" s="231"/>
      <c r="L324" s="231"/>
    </row>
    <row r="325" spans="1:17" s="232" customFormat="1" ht="15" customHeight="1">
      <c r="A325" s="360"/>
      <c r="B325" s="17" t="s">
        <v>45</v>
      </c>
      <c r="C325" s="17"/>
      <c r="D325" s="17">
        <v>232</v>
      </c>
      <c r="E325" s="192">
        <v>1</v>
      </c>
      <c r="F325" s="17" t="s">
        <v>1</v>
      </c>
      <c r="G325" s="19">
        <v>164850</v>
      </c>
      <c r="H325" s="19">
        <f t="shared" ref="H325:H329" si="68">E325*G325</f>
        <v>164850</v>
      </c>
      <c r="K325" s="231"/>
      <c r="L325" s="231"/>
    </row>
    <row r="326" spans="1:17" s="232" customFormat="1" ht="15" customHeight="1">
      <c r="A326" s="360"/>
      <c r="B326" s="213" t="s">
        <v>187</v>
      </c>
      <c r="C326" s="272"/>
      <c r="D326" s="213"/>
      <c r="E326" s="273" t="s">
        <v>189</v>
      </c>
      <c r="F326" s="213" t="s">
        <v>188</v>
      </c>
      <c r="G326" s="270">
        <v>37800</v>
      </c>
      <c r="H326" s="271">
        <f>E326*G326</f>
        <v>75600</v>
      </c>
      <c r="K326" s="231"/>
      <c r="L326" s="231"/>
    </row>
    <row r="327" spans="1:17" s="232" customFormat="1" ht="15" customHeight="1">
      <c r="A327" s="360"/>
      <c r="B327" s="17" t="s">
        <v>14</v>
      </c>
      <c r="C327" s="17"/>
      <c r="D327" s="17"/>
      <c r="E327" s="302">
        <v>4.0999999999999996</v>
      </c>
      <c r="F327" s="17" t="s">
        <v>1</v>
      </c>
      <c r="G327" s="18">
        <v>21000</v>
      </c>
      <c r="H327" s="19">
        <f t="shared" si="68"/>
        <v>86099.999999999985</v>
      </c>
      <c r="K327" s="231"/>
      <c r="L327" s="231"/>
    </row>
    <row r="328" spans="1:17" s="232" customFormat="1" ht="15" customHeight="1">
      <c r="A328" s="360"/>
      <c r="B328" s="17" t="s">
        <v>12</v>
      </c>
      <c r="C328" s="17"/>
      <c r="D328" s="17"/>
      <c r="E328" s="287" t="s">
        <v>46</v>
      </c>
      <c r="F328" s="17" t="s">
        <v>1</v>
      </c>
      <c r="G328" s="120">
        <v>57750</v>
      </c>
      <c r="H328" s="121">
        <f t="shared" si="68"/>
        <v>5775</v>
      </c>
      <c r="I328" s="263">
        <f>230*17000</f>
        <v>3910000</v>
      </c>
      <c r="K328" s="231"/>
      <c r="L328" s="231"/>
    </row>
    <row r="329" spans="1:17" s="232" customFormat="1" ht="15" customHeight="1">
      <c r="A329" s="360"/>
      <c r="B329" s="20" t="s">
        <v>41</v>
      </c>
      <c r="C329" s="35"/>
      <c r="D329" s="17"/>
      <c r="E329" s="288" t="s">
        <v>46</v>
      </c>
      <c r="F329" s="17" t="s">
        <v>1</v>
      </c>
      <c r="G329" s="120">
        <v>36750</v>
      </c>
      <c r="H329" s="121">
        <f t="shared" si="68"/>
        <v>3675</v>
      </c>
      <c r="K329" s="231"/>
      <c r="L329" s="231"/>
    </row>
    <row r="330" spans="1:17" s="232" customFormat="1" ht="15" customHeight="1">
      <c r="A330" s="249"/>
      <c r="B330" s="20" t="s">
        <v>25</v>
      </c>
      <c r="C330" s="20"/>
      <c r="D330" s="20"/>
      <c r="E330" s="56"/>
      <c r="F330" s="21"/>
      <c r="G330" s="20"/>
      <c r="H330" s="285">
        <f>130426+711</f>
        <v>131137</v>
      </c>
      <c r="K330" s="231"/>
      <c r="L330" s="231"/>
    </row>
    <row r="331" spans="1:17" s="134" customFormat="1" ht="20.399999999999999" customHeight="1">
      <c r="A331" s="218"/>
      <c r="B331" s="20"/>
      <c r="C331" s="20"/>
      <c r="D331" s="20"/>
      <c r="E331" s="56"/>
      <c r="F331" s="21"/>
      <c r="G331" s="20"/>
      <c r="H331" s="5">
        <f>SUM(H321:H330)</f>
        <v>3944000</v>
      </c>
      <c r="I331" s="217">
        <f>H331-I323</f>
        <v>0</v>
      </c>
      <c r="K331" s="217"/>
      <c r="L331" s="217"/>
    </row>
    <row r="332" spans="1:17" s="134" customFormat="1" ht="20.399999999999999" customHeight="1">
      <c r="A332" s="353" t="s">
        <v>225</v>
      </c>
      <c r="B332" s="111" t="s">
        <v>22</v>
      </c>
      <c r="C332" s="264">
        <f>E332/D332</f>
        <v>0.11982758620689656</v>
      </c>
      <c r="D332" s="213">
        <v>232</v>
      </c>
      <c r="E332" s="187" t="s">
        <v>108</v>
      </c>
      <c r="F332" s="265" t="s">
        <v>1</v>
      </c>
      <c r="G332" s="266">
        <v>21525</v>
      </c>
      <c r="H332" s="267">
        <f>E332*G332</f>
        <v>598395</v>
      </c>
      <c r="I332" s="217"/>
      <c r="K332" s="217"/>
      <c r="L332" s="217"/>
    </row>
    <row r="333" spans="1:17" s="134" customFormat="1" ht="20.399999999999999" customHeight="1">
      <c r="A333" s="354"/>
      <c r="B333" s="265" t="s">
        <v>184</v>
      </c>
      <c r="C333" s="268">
        <f t="shared" ref="C333:C335" si="69">E333/D333</f>
        <v>7.8879310344827591E-2</v>
      </c>
      <c r="D333" s="213">
        <v>232</v>
      </c>
      <c r="E333" s="187" t="s">
        <v>212</v>
      </c>
      <c r="F333" s="213" t="s">
        <v>1</v>
      </c>
      <c r="G333" s="266">
        <v>129150</v>
      </c>
      <c r="H333" s="271">
        <f>G333*E333</f>
        <v>2363445</v>
      </c>
      <c r="I333" s="217"/>
      <c r="J333" s="134">
        <f>231-2</f>
        <v>229</v>
      </c>
      <c r="K333" s="217"/>
      <c r="L333" s="217"/>
    </row>
    <row r="334" spans="1:17" s="134" customFormat="1" ht="20.399999999999999" customHeight="1">
      <c r="A334" s="354"/>
      <c r="B334" s="38" t="s">
        <v>153</v>
      </c>
      <c r="C334" s="142">
        <f t="shared" si="69"/>
        <v>4.3103448275862068E-3</v>
      </c>
      <c r="D334" s="164">
        <v>232</v>
      </c>
      <c r="E334" s="163">
        <v>1</v>
      </c>
      <c r="F334" s="38" t="s">
        <v>4</v>
      </c>
      <c r="G334" s="120">
        <v>137550</v>
      </c>
      <c r="H334" s="121">
        <f t="shared" ref="H334" si="70">E334*G334</f>
        <v>137550</v>
      </c>
      <c r="I334" s="217"/>
      <c r="K334" s="217"/>
      <c r="L334" s="217"/>
    </row>
    <row r="335" spans="1:17" s="134" customFormat="1" ht="20.399999999999999" customHeight="1">
      <c r="A335" s="354"/>
      <c r="B335" s="213" t="s">
        <v>7</v>
      </c>
      <c r="C335" s="272">
        <f t="shared" si="69"/>
        <v>0.56465517241379315</v>
      </c>
      <c r="D335" s="213">
        <v>232</v>
      </c>
      <c r="E335" s="273" t="s">
        <v>185</v>
      </c>
      <c r="F335" s="213" t="s">
        <v>1</v>
      </c>
      <c r="G335" s="270">
        <v>3510</v>
      </c>
      <c r="H335" s="271">
        <f>E335*G335</f>
        <v>459810</v>
      </c>
      <c r="I335" s="217">
        <f>232*17000</f>
        <v>3944000</v>
      </c>
      <c r="K335" s="111" t="s">
        <v>22</v>
      </c>
      <c r="L335" s="264">
        <f>N335/M335</f>
        <v>0.11904761904761904</v>
      </c>
      <c r="M335" s="213">
        <v>231</v>
      </c>
      <c r="N335" s="187" t="s">
        <v>161</v>
      </c>
      <c r="O335" s="265" t="s">
        <v>1</v>
      </c>
      <c r="P335" s="266">
        <v>21525</v>
      </c>
      <c r="Q335" s="267">
        <f>N335*P335</f>
        <v>591937.5</v>
      </c>
    </row>
    <row r="336" spans="1:17" s="134" customFormat="1" ht="20.399999999999999" customHeight="1">
      <c r="A336" s="354"/>
      <c r="B336" s="213" t="s">
        <v>187</v>
      </c>
      <c r="C336" s="272"/>
      <c r="D336" s="213"/>
      <c r="E336" s="273" t="s">
        <v>189</v>
      </c>
      <c r="F336" s="213" t="s">
        <v>188</v>
      </c>
      <c r="G336" s="270">
        <v>37800</v>
      </c>
      <c r="H336" s="271">
        <f>E336*G336</f>
        <v>75600</v>
      </c>
      <c r="I336" s="217"/>
      <c r="K336" s="213" t="s">
        <v>6</v>
      </c>
      <c r="L336" s="268">
        <f t="shared" ref="L336:L339" si="71">N336/M336</f>
        <v>6.8398268398268403E-2</v>
      </c>
      <c r="M336" s="213">
        <v>231</v>
      </c>
      <c r="N336" s="269">
        <v>15.8</v>
      </c>
      <c r="O336" s="213" t="s">
        <v>1</v>
      </c>
      <c r="P336" s="270">
        <v>137550</v>
      </c>
      <c r="Q336" s="271">
        <f>N336*P336-1892</f>
        <v>2171398</v>
      </c>
    </row>
    <row r="337" spans="1:17" s="134" customFormat="1" ht="20.399999999999999" customHeight="1">
      <c r="A337" s="354"/>
      <c r="B337" s="213" t="s">
        <v>197</v>
      </c>
      <c r="C337" s="272"/>
      <c r="D337" s="213"/>
      <c r="E337" s="273" t="s">
        <v>26</v>
      </c>
      <c r="F337" s="213" t="s">
        <v>4</v>
      </c>
      <c r="G337" s="270">
        <v>44280</v>
      </c>
      <c r="H337" s="271">
        <f>E337*G337</f>
        <v>44280</v>
      </c>
      <c r="I337" s="217"/>
      <c r="K337" s="213" t="s">
        <v>34</v>
      </c>
      <c r="L337" s="272">
        <f t="shared" si="71"/>
        <v>3.3333333333333333E-2</v>
      </c>
      <c r="M337" s="213">
        <v>21</v>
      </c>
      <c r="N337" s="273" t="s">
        <v>35</v>
      </c>
      <c r="O337" s="213" t="s">
        <v>1</v>
      </c>
      <c r="P337" s="270">
        <v>304500</v>
      </c>
      <c r="Q337" s="271">
        <f>N337*P337</f>
        <v>213150</v>
      </c>
    </row>
    <row r="338" spans="1:17" s="134" customFormat="1" ht="20.399999999999999" customHeight="1">
      <c r="A338" s="354"/>
      <c r="B338" s="213" t="s">
        <v>198</v>
      </c>
      <c r="C338" s="272"/>
      <c r="D338" s="213"/>
      <c r="E338" s="273" t="s">
        <v>227</v>
      </c>
      <c r="F338" s="213" t="s">
        <v>1</v>
      </c>
      <c r="G338" s="270">
        <v>24150</v>
      </c>
      <c r="H338" s="271">
        <f t="shared" ref="H338:H340" si="72">E338*G338</f>
        <v>125580</v>
      </c>
      <c r="I338" s="217">
        <f>H342-I335</f>
        <v>0</v>
      </c>
      <c r="K338" s="213" t="s">
        <v>36</v>
      </c>
      <c r="L338" s="272">
        <f t="shared" si="71"/>
        <v>3.9301310043668124E-2</v>
      </c>
      <c r="M338" s="213">
        <v>229</v>
      </c>
      <c r="N338" s="273" t="s">
        <v>145</v>
      </c>
      <c r="O338" s="213" t="s">
        <v>1</v>
      </c>
      <c r="P338" s="270">
        <v>67200</v>
      </c>
      <c r="Q338" s="271">
        <f>N338*P338</f>
        <v>604800</v>
      </c>
    </row>
    <row r="339" spans="1:17" s="134" customFormat="1" ht="20.399999999999999" customHeight="1">
      <c r="A339" s="354"/>
      <c r="B339" s="213" t="s">
        <v>41</v>
      </c>
      <c r="C339" s="268"/>
      <c r="D339" s="213"/>
      <c r="E339" s="273" t="s">
        <v>46</v>
      </c>
      <c r="F339" s="213" t="s">
        <v>4</v>
      </c>
      <c r="G339" s="120">
        <v>36750</v>
      </c>
      <c r="H339" s="121">
        <f t="shared" si="72"/>
        <v>3675</v>
      </c>
      <c r="I339" s="217"/>
      <c r="K339" s="213" t="s">
        <v>94</v>
      </c>
      <c r="L339" s="272">
        <f t="shared" si="71"/>
        <v>3.2314410480349345E-2</v>
      </c>
      <c r="M339" s="213">
        <v>229</v>
      </c>
      <c r="N339" s="273" t="s">
        <v>139</v>
      </c>
      <c r="O339" s="213" t="s">
        <v>1</v>
      </c>
      <c r="P339" s="270">
        <v>22050</v>
      </c>
      <c r="Q339" s="271">
        <f t="shared" ref="Q339" si="73">N339*P339</f>
        <v>163170</v>
      </c>
    </row>
    <row r="340" spans="1:17" s="134" customFormat="1" ht="20.399999999999999" customHeight="1">
      <c r="A340" s="289"/>
      <c r="B340" s="213" t="s">
        <v>12</v>
      </c>
      <c r="C340" s="216"/>
      <c r="D340" s="213"/>
      <c r="E340" s="274">
        <v>0.1</v>
      </c>
      <c r="F340" s="213" t="s">
        <v>1</v>
      </c>
      <c r="G340" s="120">
        <v>57750</v>
      </c>
      <c r="H340" s="121">
        <f t="shared" si="72"/>
        <v>5775</v>
      </c>
      <c r="I340" s="217"/>
      <c r="K340" s="290"/>
      <c r="L340" s="272"/>
      <c r="M340" s="290"/>
      <c r="N340" s="291"/>
      <c r="O340" s="290"/>
      <c r="P340" s="292"/>
      <c r="Q340" s="293"/>
    </row>
    <row r="341" spans="1:17" s="134" customFormat="1" ht="20.399999999999999" customHeight="1">
      <c r="A341" s="289"/>
      <c r="B341" s="275" t="s">
        <v>25</v>
      </c>
      <c r="C341" s="275"/>
      <c r="D341" s="275"/>
      <c r="E341" s="276"/>
      <c r="F341" s="277"/>
      <c r="G341" s="275"/>
      <c r="H341" s="278">
        <f>130426-536</f>
        <v>129890</v>
      </c>
      <c r="I341" s="217"/>
      <c r="K341" s="290"/>
      <c r="L341" s="272"/>
      <c r="M341" s="290"/>
      <c r="N341" s="291"/>
      <c r="O341" s="290"/>
      <c r="P341" s="292"/>
      <c r="Q341" s="293"/>
    </row>
    <row r="342" spans="1:17" s="134" customFormat="1" ht="20.399999999999999" customHeight="1">
      <c r="A342" s="218"/>
      <c r="B342" s="294"/>
      <c r="C342" s="220"/>
      <c r="D342" s="294"/>
      <c r="E342" s="295"/>
      <c r="F342" s="294"/>
      <c r="G342" s="296"/>
      <c r="H342" s="297">
        <f>SUM(H332:H341)</f>
        <v>3944000</v>
      </c>
      <c r="I342" s="217">
        <f>I335-H342</f>
        <v>0</v>
      </c>
      <c r="K342" s="275" t="s">
        <v>25</v>
      </c>
      <c r="L342" s="275"/>
      <c r="M342" s="275"/>
      <c r="N342" s="276"/>
      <c r="O342" s="277"/>
      <c r="P342" s="275"/>
      <c r="Q342" s="278">
        <f>136716+1538</f>
        <v>138254</v>
      </c>
    </row>
    <row r="343" spans="1:17" s="134" customFormat="1" ht="15" customHeight="1">
      <c r="A343" s="346" t="s">
        <v>226</v>
      </c>
      <c r="B343" s="113" t="s">
        <v>22</v>
      </c>
      <c r="C343" s="140">
        <f>E343/D343</f>
        <v>0.11982758620689656</v>
      </c>
      <c r="D343" s="38">
        <v>232</v>
      </c>
      <c r="E343" s="186" t="s">
        <v>108</v>
      </c>
      <c r="F343" s="113" t="s">
        <v>1</v>
      </c>
      <c r="G343" s="141">
        <v>21525</v>
      </c>
      <c r="H343" s="115">
        <f>E343*G343</f>
        <v>598395</v>
      </c>
      <c r="I343" s="284"/>
      <c r="J343" s="217"/>
    </row>
    <row r="344" spans="1:17" s="134" customFormat="1" ht="15" customHeight="1">
      <c r="A344" s="346"/>
      <c r="B344" s="38" t="s">
        <v>87</v>
      </c>
      <c r="C344" s="142">
        <f t="shared" ref="C344:C345" si="74">E344/D344</f>
        <v>7.1120689655172417E-2</v>
      </c>
      <c r="D344" s="38">
        <v>232</v>
      </c>
      <c r="E344" s="143">
        <v>16.5</v>
      </c>
      <c r="F344" s="38" t="s">
        <v>1</v>
      </c>
      <c r="G344" s="120">
        <v>140700</v>
      </c>
      <c r="H344" s="121">
        <f>E344*G344-1892</f>
        <v>2319658</v>
      </c>
      <c r="J344" s="280">
        <f>232*17000</f>
        <v>3944000</v>
      </c>
    </row>
    <row r="345" spans="1:17" s="134" customFormat="1" ht="15" customHeight="1">
      <c r="A345" s="346"/>
      <c r="B345" s="38" t="s">
        <v>43</v>
      </c>
      <c r="C345" s="144">
        <f t="shared" si="74"/>
        <v>0.56465517241379315</v>
      </c>
      <c r="D345" s="38">
        <v>232</v>
      </c>
      <c r="E345" s="119" t="s">
        <v>185</v>
      </c>
      <c r="F345" s="38" t="s">
        <v>1</v>
      </c>
      <c r="G345" s="120">
        <v>3456</v>
      </c>
      <c r="H345" s="121">
        <f>E345*G345</f>
        <v>452736</v>
      </c>
    </row>
    <row r="346" spans="1:17" s="134" customFormat="1" ht="15" customHeight="1">
      <c r="A346" s="346"/>
      <c r="B346" s="38" t="s">
        <v>78</v>
      </c>
      <c r="C346" s="144"/>
      <c r="D346" s="38">
        <v>232</v>
      </c>
      <c r="E346" s="119" t="s">
        <v>48</v>
      </c>
      <c r="F346" s="38" t="s">
        <v>1</v>
      </c>
      <c r="G346" s="120">
        <v>78750</v>
      </c>
      <c r="H346" s="121">
        <f t="shared" ref="H346:H350" si="75">E346*G346</f>
        <v>236250</v>
      </c>
    </row>
    <row r="347" spans="1:17" s="134" customFormat="1" ht="15" customHeight="1">
      <c r="A347" s="279"/>
      <c r="B347" s="38" t="s">
        <v>79</v>
      </c>
      <c r="C347" s="144"/>
      <c r="D347" s="38">
        <v>232</v>
      </c>
      <c r="E347" s="119" t="s">
        <v>54</v>
      </c>
      <c r="F347" s="38" t="s">
        <v>4</v>
      </c>
      <c r="G347" s="120">
        <v>18900</v>
      </c>
      <c r="H347" s="121">
        <f t="shared" si="75"/>
        <v>190890</v>
      </c>
    </row>
    <row r="348" spans="1:17" s="134" customFormat="1" ht="15" customHeight="1">
      <c r="A348" s="279"/>
      <c r="B348" s="38" t="s">
        <v>81</v>
      </c>
      <c r="C348" s="38"/>
      <c r="D348" s="38">
        <v>232</v>
      </c>
      <c r="E348" s="119" t="s">
        <v>46</v>
      </c>
      <c r="F348" s="38" t="s">
        <v>1</v>
      </c>
      <c r="G348" s="120">
        <v>63000</v>
      </c>
      <c r="H348" s="121">
        <f t="shared" si="75"/>
        <v>6300</v>
      </c>
    </row>
    <row r="349" spans="1:17" s="134" customFormat="1" ht="15" customHeight="1">
      <c r="A349" s="279"/>
      <c r="B349" s="38" t="s">
        <v>66</v>
      </c>
      <c r="C349" s="146"/>
      <c r="D349" s="38">
        <v>232</v>
      </c>
      <c r="E349" s="119" t="s">
        <v>46</v>
      </c>
      <c r="F349" s="38" t="s">
        <v>1</v>
      </c>
      <c r="G349" s="120">
        <v>57750</v>
      </c>
      <c r="H349" s="121">
        <f t="shared" si="75"/>
        <v>5775</v>
      </c>
    </row>
    <row r="350" spans="1:17" s="134" customFormat="1" ht="15" customHeight="1">
      <c r="A350" s="279"/>
      <c r="B350" s="213" t="s">
        <v>41</v>
      </c>
      <c r="C350" s="268"/>
      <c r="D350" s="213"/>
      <c r="E350" s="273" t="s">
        <v>46</v>
      </c>
      <c r="F350" s="213" t="s">
        <v>4</v>
      </c>
      <c r="G350" s="120">
        <v>36750</v>
      </c>
      <c r="H350" s="121">
        <f t="shared" si="75"/>
        <v>3675</v>
      </c>
    </row>
    <row r="351" spans="1:17" s="134" customFormat="1" ht="15" customHeight="1">
      <c r="A351" s="279"/>
      <c r="B351" s="125" t="s">
        <v>25</v>
      </c>
      <c r="C351" s="125"/>
      <c r="D351" s="38">
        <v>232</v>
      </c>
      <c r="E351" s="126"/>
      <c r="F351" s="127"/>
      <c r="G351" s="125"/>
      <c r="H351" s="133">
        <f>130426-105</f>
        <v>130321</v>
      </c>
    </row>
    <row r="352" spans="1:17" s="155" customFormat="1" ht="19.8" customHeight="1">
      <c r="A352" s="222"/>
      <c r="B352" s="175"/>
      <c r="C352" s="175"/>
      <c r="D352" s="175"/>
      <c r="E352" s="223"/>
      <c r="F352" s="224"/>
      <c r="G352" s="175"/>
      <c r="H352" s="225">
        <f>SUM(H343:H351)</f>
        <v>3944000</v>
      </c>
      <c r="I352" s="183">
        <f>H352-I335</f>
        <v>0</v>
      </c>
      <c r="J352" s="183">
        <f>H352-J344</f>
        <v>0</v>
      </c>
      <c r="M352" s="134"/>
    </row>
    <row r="353" spans="1:8">
      <c r="A353" s="107"/>
      <c r="B353" s="107"/>
      <c r="C353" s="107"/>
      <c r="D353" s="107"/>
      <c r="E353" s="108"/>
    </row>
    <row r="354" spans="1:8" ht="18">
      <c r="A354" s="347" t="s">
        <v>28</v>
      </c>
      <c r="B354" s="347"/>
      <c r="C354" s="347" t="s">
        <v>29</v>
      </c>
      <c r="D354" s="347"/>
      <c r="E354" s="347"/>
      <c r="F354" s="1"/>
      <c r="G354" s="347" t="s">
        <v>30</v>
      </c>
      <c r="H354" s="347"/>
    </row>
    <row r="355" spans="1:8" ht="18">
      <c r="A355" s="33"/>
      <c r="B355" s="33"/>
      <c r="C355" s="33"/>
      <c r="D355" s="33"/>
      <c r="E355" s="33"/>
      <c r="F355" s="1"/>
      <c r="G355" s="33"/>
      <c r="H355" s="33"/>
    </row>
    <row r="356" spans="1:8" ht="18">
      <c r="A356" s="33"/>
      <c r="B356" s="33"/>
      <c r="C356" s="33"/>
      <c r="D356" s="33"/>
      <c r="E356" s="33"/>
      <c r="F356" s="1"/>
      <c r="G356" s="33"/>
      <c r="H356" s="33"/>
    </row>
    <row r="357" spans="1:8" ht="18">
      <c r="A357" s="33"/>
      <c r="B357" s="33"/>
      <c r="C357" s="33"/>
      <c r="D357" s="33"/>
      <c r="E357" s="33"/>
      <c r="F357" s="1"/>
      <c r="G357" s="33"/>
      <c r="H357" s="33"/>
    </row>
    <row r="358" spans="1:8" ht="18">
      <c r="A358" s="33"/>
      <c r="B358" s="33"/>
      <c r="C358" s="33"/>
      <c r="D358" s="33"/>
      <c r="E358" s="33"/>
      <c r="F358" s="1"/>
      <c r="G358" s="33"/>
      <c r="H358" s="33"/>
    </row>
    <row r="359" spans="1:8" ht="18">
      <c r="A359" s="33"/>
      <c r="B359" s="33"/>
      <c r="C359" s="33"/>
      <c r="D359" s="33"/>
      <c r="E359" s="33"/>
      <c r="F359" s="1"/>
      <c r="G359" s="33"/>
      <c r="H359" s="33"/>
    </row>
    <row r="360" spans="1:8" ht="18">
      <c r="A360" s="33"/>
      <c r="B360" s="33"/>
      <c r="C360" s="33"/>
      <c r="D360" s="33"/>
      <c r="E360" s="33"/>
      <c r="F360" s="1"/>
      <c r="G360" s="33"/>
      <c r="H360" s="33"/>
    </row>
    <row r="361" spans="1:8" ht="18">
      <c r="A361" s="33"/>
      <c r="B361" s="33"/>
      <c r="C361" s="33"/>
      <c r="D361" s="33"/>
      <c r="E361" s="33"/>
      <c r="F361" s="1"/>
      <c r="G361" s="33"/>
      <c r="H361" s="33"/>
    </row>
    <row r="362" spans="1:8" ht="18">
      <c r="A362" s="33"/>
      <c r="B362" s="33"/>
      <c r="C362" s="33"/>
      <c r="D362" s="33"/>
      <c r="E362" s="33"/>
      <c r="F362" s="1"/>
      <c r="G362" s="33"/>
      <c r="H362" s="33"/>
    </row>
    <row r="363" spans="1:8" ht="18">
      <c r="A363" s="33"/>
      <c r="B363" s="33"/>
      <c r="C363" s="33"/>
      <c r="D363" s="33"/>
      <c r="E363" s="33"/>
      <c r="F363" s="1"/>
      <c r="G363" s="33"/>
      <c r="H363" s="33"/>
    </row>
    <row r="364" spans="1:8" ht="18">
      <c r="A364" s="33"/>
      <c r="B364" s="33"/>
      <c r="C364" s="33"/>
      <c r="D364" s="33"/>
      <c r="E364" s="33"/>
      <c r="F364" s="1"/>
      <c r="G364" s="33"/>
      <c r="H364" s="33"/>
    </row>
    <row r="365" spans="1:8" ht="18">
      <c r="A365" s="33"/>
      <c r="B365" s="33"/>
      <c r="C365" s="33"/>
      <c r="D365" s="33"/>
      <c r="E365" s="33"/>
      <c r="F365" s="1"/>
      <c r="G365" s="33"/>
      <c r="H365" s="33"/>
    </row>
    <row r="366" spans="1:8" ht="18">
      <c r="A366" s="33"/>
      <c r="B366" s="33"/>
      <c r="C366" s="33"/>
      <c r="D366" s="33"/>
      <c r="E366" s="33"/>
      <c r="F366" s="1"/>
      <c r="G366" s="33"/>
      <c r="H366" s="33"/>
    </row>
    <row r="367" spans="1:8" ht="18">
      <c r="A367" s="33"/>
      <c r="B367" s="33"/>
      <c r="C367" s="33"/>
      <c r="D367" s="33"/>
      <c r="E367" s="33"/>
      <c r="F367" s="1"/>
      <c r="G367" s="33"/>
      <c r="H367" s="33"/>
    </row>
    <row r="368" spans="1:8" ht="18">
      <c r="A368" s="33"/>
      <c r="B368" s="33"/>
      <c r="C368" s="33"/>
      <c r="D368" s="33"/>
      <c r="E368" s="33"/>
      <c r="F368" s="1"/>
      <c r="G368" s="33"/>
      <c r="H368" s="33"/>
    </row>
    <row r="369" spans="1:8" ht="18">
      <c r="A369" s="33"/>
      <c r="B369" s="33"/>
      <c r="C369" s="33"/>
      <c r="D369" s="33"/>
      <c r="E369" s="33"/>
      <c r="F369" s="1"/>
      <c r="G369" s="33"/>
      <c r="H369" s="33"/>
    </row>
    <row r="370" spans="1:8" ht="18">
      <c r="A370" s="33"/>
      <c r="B370" s="33"/>
      <c r="C370" s="33"/>
      <c r="D370" s="33"/>
      <c r="E370" s="33"/>
      <c r="F370" s="1"/>
      <c r="G370" s="33"/>
      <c r="H370" s="33"/>
    </row>
    <row r="371" spans="1:8" ht="18">
      <c r="A371" s="33"/>
      <c r="B371" s="33"/>
      <c r="C371" s="33"/>
      <c r="D371" s="33"/>
      <c r="E371" s="33"/>
      <c r="F371" s="1"/>
      <c r="G371" s="33"/>
      <c r="H371" s="33"/>
    </row>
    <row r="372" spans="1:8" ht="18">
      <c r="A372" s="33"/>
      <c r="B372" s="33"/>
      <c r="C372" s="33"/>
      <c r="D372" s="33"/>
      <c r="E372" s="33"/>
      <c r="F372" s="1"/>
      <c r="G372" s="33"/>
      <c r="H372" s="33"/>
    </row>
    <row r="373" spans="1:8" ht="18">
      <c r="A373" s="33"/>
      <c r="B373" s="33"/>
      <c r="C373" s="33"/>
      <c r="D373" s="33"/>
      <c r="E373" s="33"/>
      <c r="F373" s="1"/>
      <c r="G373" s="33"/>
      <c r="H373" s="33"/>
    </row>
    <row r="374" spans="1:8" ht="18">
      <c r="A374" s="33"/>
      <c r="B374" s="33"/>
      <c r="C374" s="33"/>
      <c r="D374" s="33"/>
      <c r="E374" s="33"/>
      <c r="F374" s="1"/>
      <c r="G374" s="33"/>
      <c r="H374" s="33"/>
    </row>
    <row r="375" spans="1:8" ht="18">
      <c r="A375" s="33"/>
      <c r="B375" s="33"/>
      <c r="C375" s="33"/>
      <c r="D375" s="33"/>
      <c r="E375" s="33"/>
      <c r="F375" s="1"/>
      <c r="G375" s="33"/>
      <c r="H375" s="33"/>
    </row>
    <row r="376" spans="1:8" ht="18">
      <c r="A376" s="33"/>
      <c r="B376" s="33"/>
      <c r="C376" s="33"/>
      <c r="D376" s="33"/>
      <c r="E376" s="33"/>
      <c r="F376" s="1"/>
      <c r="G376" s="33"/>
      <c r="H376" s="33"/>
    </row>
    <row r="377" spans="1:8" ht="18">
      <c r="A377" s="33"/>
      <c r="B377" s="33"/>
      <c r="C377" s="33"/>
      <c r="D377" s="33"/>
      <c r="E377" s="33"/>
      <c r="F377" s="1"/>
      <c r="G377" s="33"/>
      <c r="H377" s="33"/>
    </row>
    <row r="378" spans="1:8" ht="18">
      <c r="A378" s="33"/>
      <c r="B378" s="33"/>
      <c r="C378" s="33"/>
      <c r="D378" s="33"/>
      <c r="E378" s="33"/>
      <c r="F378" s="1"/>
      <c r="G378" s="33"/>
      <c r="H378" s="33"/>
    </row>
    <row r="379" spans="1:8" ht="18">
      <c r="A379" s="33"/>
      <c r="B379" s="33"/>
      <c r="C379" s="33"/>
      <c r="D379" s="33"/>
      <c r="E379" s="33"/>
      <c r="F379" s="1"/>
      <c r="G379" s="33"/>
      <c r="H379" s="33"/>
    </row>
    <row r="380" spans="1:8" ht="18">
      <c r="A380" s="33"/>
      <c r="B380" s="33"/>
      <c r="C380" s="33"/>
      <c r="D380" s="33"/>
      <c r="E380" s="33"/>
      <c r="F380" s="1"/>
      <c r="G380" s="33"/>
      <c r="H380" s="33"/>
    </row>
    <row r="381" spans="1:8" ht="18">
      <c r="A381" s="33"/>
      <c r="B381" s="33"/>
      <c r="C381" s="33"/>
      <c r="D381" s="33"/>
      <c r="E381" s="33"/>
      <c r="F381" s="1"/>
      <c r="G381" s="33"/>
      <c r="H381" s="33"/>
    </row>
  </sheetData>
  <mergeCells count="50">
    <mergeCell ref="B67:H67"/>
    <mergeCell ref="A2:H2"/>
    <mergeCell ref="B3:H3"/>
    <mergeCell ref="A5:A14"/>
    <mergeCell ref="A15:A22"/>
    <mergeCell ref="A25:A33"/>
    <mergeCell ref="A35:A42"/>
    <mergeCell ref="A45:A48"/>
    <mergeCell ref="A56:B56"/>
    <mergeCell ref="C56:E56"/>
    <mergeCell ref="G56:H56"/>
    <mergeCell ref="A66:H66"/>
    <mergeCell ref="A69:A78"/>
    <mergeCell ref="A79:A86"/>
    <mergeCell ref="A89:A97"/>
    <mergeCell ref="A99:A106"/>
    <mergeCell ref="A109:A112"/>
    <mergeCell ref="G192:H192"/>
    <mergeCell ref="C120:E120"/>
    <mergeCell ref="G120:H120"/>
    <mergeCell ref="A137:H137"/>
    <mergeCell ref="B138:H138"/>
    <mergeCell ref="A140:A150"/>
    <mergeCell ref="A151:A158"/>
    <mergeCell ref="A120:B120"/>
    <mergeCell ref="A161:A169"/>
    <mergeCell ref="A171:A178"/>
    <mergeCell ref="A181:A184"/>
    <mergeCell ref="A192:B192"/>
    <mergeCell ref="C192:E192"/>
    <mergeCell ref="B300:H300"/>
    <mergeCell ref="A209:H209"/>
    <mergeCell ref="B210:H210"/>
    <mergeCell ref="A212:A221"/>
    <mergeCell ref="A222:A230"/>
    <mergeCell ref="A233:A241"/>
    <mergeCell ref="A243:A250"/>
    <mergeCell ref="A253:A256"/>
    <mergeCell ref="A263:B263"/>
    <mergeCell ref="C263:E263"/>
    <mergeCell ref="G263:H263"/>
    <mergeCell ref="A299:H299"/>
    <mergeCell ref="C354:E354"/>
    <mergeCell ref="G354:H354"/>
    <mergeCell ref="A302:A311"/>
    <mergeCell ref="A312:A319"/>
    <mergeCell ref="A322:A329"/>
    <mergeCell ref="A332:A339"/>
    <mergeCell ref="A343:A346"/>
    <mergeCell ref="A354:B354"/>
  </mergeCells>
  <pageMargins left="0.39370078740157483" right="0.31496062992125984" top="0.43307086614173229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5A01B-1818-450A-B1B6-38807E402D85}">
  <dimension ref="A1:U1081"/>
  <sheetViews>
    <sheetView topLeftCell="A109" zoomScaleNormal="100" workbookViewId="0">
      <selection activeCell="E126" sqref="E126:E128"/>
    </sheetView>
  </sheetViews>
  <sheetFormatPr defaultRowHeight="13.8"/>
  <cols>
    <col min="1" max="1" width="5.796875" customWidth="1"/>
    <col min="2" max="2" width="23.19921875" customWidth="1"/>
    <col min="3" max="3" width="8.8984375" style="34" customWidth="1"/>
    <col min="4" max="4" width="6.796875" customWidth="1"/>
    <col min="5" max="5" width="7.8984375" style="34" customWidth="1"/>
    <col min="6" max="6" width="4.8984375" customWidth="1"/>
    <col min="7" max="7" width="10.09765625" customWidth="1"/>
    <col min="8" max="8" width="13.296875" customWidth="1"/>
    <col min="9" max="9" width="43" customWidth="1"/>
    <col min="10" max="10" width="12.69921875" customWidth="1"/>
    <col min="11" max="11" width="13.8984375" customWidth="1"/>
    <col min="12" max="12" width="11.5" customWidth="1"/>
    <col min="13" max="13" width="12.296875" bestFit="1" customWidth="1"/>
    <col min="15" max="16" width="8.8984375" bestFit="1" customWidth="1"/>
    <col min="19" max="19" width="8.8984375" bestFit="1" customWidth="1"/>
    <col min="20" max="20" width="10.296875" bestFit="1" customWidth="1"/>
  </cols>
  <sheetData>
    <row r="1" spans="1:20" ht="15.6">
      <c r="A1" s="6" t="s">
        <v>0</v>
      </c>
      <c r="B1" s="6"/>
    </row>
    <row r="2" spans="1:20" s="110" customFormat="1" ht="16.8" customHeight="1">
      <c r="A2" s="347" t="s">
        <v>176</v>
      </c>
      <c r="B2" s="347"/>
      <c r="C2" s="347"/>
      <c r="D2" s="347"/>
      <c r="E2" s="347"/>
      <c r="F2" s="347"/>
      <c r="G2" s="347"/>
      <c r="H2" s="347"/>
      <c r="I2" s="181">
        <f>1996200/15</f>
        <v>133080</v>
      </c>
    </row>
    <row r="3" spans="1:20" s="110" customFormat="1" ht="16.8" customHeight="1">
      <c r="A3" s="109"/>
      <c r="B3" s="348" t="s">
        <v>213</v>
      </c>
      <c r="C3" s="348"/>
      <c r="D3" s="348"/>
      <c r="E3" s="348"/>
      <c r="F3" s="348"/>
      <c r="G3" s="348"/>
      <c r="H3" s="348"/>
    </row>
    <row r="4" spans="1:20" ht="15" customHeight="1">
      <c r="A4" s="7" t="s">
        <v>15</v>
      </c>
      <c r="B4" s="8" t="s">
        <v>16</v>
      </c>
      <c r="C4" s="9" t="s">
        <v>17</v>
      </c>
      <c r="D4" s="10" t="s">
        <v>18</v>
      </c>
      <c r="E4" s="45" t="s">
        <v>19</v>
      </c>
      <c r="F4" s="11" t="s">
        <v>5</v>
      </c>
      <c r="G4" s="7" t="s">
        <v>20</v>
      </c>
      <c r="H4" s="7" t="s">
        <v>21</v>
      </c>
      <c r="K4">
        <f>225*17000</f>
        <v>3825000</v>
      </c>
      <c r="L4" t="s">
        <v>33</v>
      </c>
      <c r="N4" s="12" t="s">
        <v>22</v>
      </c>
      <c r="O4" s="92">
        <f>Q4/P4</f>
        <v>0.11931330472103005</v>
      </c>
      <c r="P4" s="17">
        <v>233</v>
      </c>
      <c r="Q4" s="53" t="s">
        <v>108</v>
      </c>
      <c r="R4" s="12" t="s">
        <v>1</v>
      </c>
      <c r="S4" s="13">
        <v>21525</v>
      </c>
      <c r="T4" s="14">
        <f>Q4*S4</f>
        <v>598395</v>
      </c>
    </row>
    <row r="5" spans="1:20" s="117" customFormat="1" ht="15" customHeight="1">
      <c r="A5" s="356" t="s">
        <v>214</v>
      </c>
      <c r="B5" s="113" t="s">
        <v>22</v>
      </c>
      <c r="C5" s="140">
        <f>E5/D5</f>
        <v>0.11991341991341992</v>
      </c>
      <c r="D5" s="159">
        <v>231</v>
      </c>
      <c r="E5" s="187" t="s">
        <v>121</v>
      </c>
      <c r="F5" s="160" t="s">
        <v>1</v>
      </c>
      <c r="G5" s="141">
        <v>21525</v>
      </c>
      <c r="H5" s="161">
        <f>E5*G5</f>
        <v>596242.5</v>
      </c>
      <c r="I5" s="116"/>
      <c r="N5" s="38" t="s">
        <v>6</v>
      </c>
      <c r="O5" s="118">
        <f>Q5/P5</f>
        <v>6.5236051502145925E-2</v>
      </c>
      <c r="P5" s="38">
        <v>233</v>
      </c>
      <c r="Q5" s="119" t="s">
        <v>124</v>
      </c>
      <c r="R5" s="38" t="s">
        <v>1</v>
      </c>
      <c r="S5" s="120">
        <v>136500</v>
      </c>
      <c r="T5" s="121">
        <f>Q5*S5</f>
        <v>2074800</v>
      </c>
    </row>
    <row r="6" spans="1:20" s="117" customFormat="1" ht="15" customHeight="1">
      <c r="A6" s="357"/>
      <c r="B6" s="162" t="s">
        <v>52</v>
      </c>
      <c r="C6" s="142">
        <f>E6/D6</f>
        <v>5.4545454545454543E-2</v>
      </c>
      <c r="D6" s="164">
        <v>231</v>
      </c>
      <c r="E6" s="188" t="s">
        <v>216</v>
      </c>
      <c r="F6" s="38" t="s">
        <v>1</v>
      </c>
      <c r="G6" s="165">
        <v>172800</v>
      </c>
      <c r="H6" s="121">
        <f t="shared" ref="H6:H11" si="0">E6*G6</f>
        <v>2177280</v>
      </c>
      <c r="I6" s="124">
        <f>231*17000</f>
        <v>3927000</v>
      </c>
      <c r="N6" s="38" t="s">
        <v>34</v>
      </c>
      <c r="O6" s="118">
        <f t="shared" ref="O6:O7" si="1">Q6/P6</f>
        <v>3.004291845493562E-3</v>
      </c>
      <c r="P6" s="38">
        <v>233</v>
      </c>
      <c r="Q6" s="119" t="s">
        <v>35</v>
      </c>
      <c r="R6" s="38" t="s">
        <v>1</v>
      </c>
      <c r="S6" s="120">
        <v>306600</v>
      </c>
      <c r="T6" s="121">
        <f>Q6*S6</f>
        <v>214620</v>
      </c>
    </row>
    <row r="7" spans="1:20" s="117" customFormat="1" ht="15" customHeight="1">
      <c r="A7" s="358"/>
      <c r="B7" s="162" t="s">
        <v>53</v>
      </c>
      <c r="C7" s="142">
        <f t="shared" ref="C7:C9" si="2">E7/D7</f>
        <v>3.4632034632034632E-2</v>
      </c>
      <c r="D7" s="164">
        <v>231</v>
      </c>
      <c r="E7" s="188" t="s">
        <v>23</v>
      </c>
      <c r="F7" s="38" t="s">
        <v>1</v>
      </c>
      <c r="G7" s="165">
        <v>89250</v>
      </c>
      <c r="H7" s="121">
        <f t="shared" si="0"/>
        <v>714000</v>
      </c>
      <c r="I7" s="128">
        <f>I6-H13</f>
        <v>0.5</v>
      </c>
      <c r="J7" s="117" t="s">
        <v>71</v>
      </c>
      <c r="K7" s="117">
        <v>22050</v>
      </c>
      <c r="L7" s="123">
        <f>K7*5</f>
        <v>110250</v>
      </c>
      <c r="M7" s="117" t="s">
        <v>88</v>
      </c>
      <c r="N7" s="38" t="s">
        <v>36</v>
      </c>
      <c r="O7" s="118">
        <f t="shared" si="1"/>
        <v>3.733905579399141E-2</v>
      </c>
      <c r="P7" s="38">
        <v>233</v>
      </c>
      <c r="Q7" s="119" t="s">
        <v>112</v>
      </c>
      <c r="R7" s="38" t="s">
        <v>1</v>
      </c>
      <c r="S7" s="120">
        <v>67200</v>
      </c>
      <c r="T7" s="121">
        <f>Q7*S7</f>
        <v>584640</v>
      </c>
    </row>
    <row r="8" spans="1:20" s="117" customFormat="1" ht="15" customHeight="1">
      <c r="A8" s="358"/>
      <c r="B8" s="38" t="s">
        <v>153</v>
      </c>
      <c r="C8" s="142">
        <f t="shared" si="2"/>
        <v>4.329004329004329E-3</v>
      </c>
      <c r="D8" s="164">
        <v>231</v>
      </c>
      <c r="E8" s="163">
        <v>1</v>
      </c>
      <c r="F8" s="38" t="s">
        <v>4</v>
      </c>
      <c r="G8" s="120">
        <v>137550</v>
      </c>
      <c r="H8" s="121">
        <f t="shared" si="0"/>
        <v>137550</v>
      </c>
      <c r="J8" s="117" t="s">
        <v>39</v>
      </c>
      <c r="K8" s="117" t="s">
        <v>40</v>
      </c>
      <c r="L8" s="123">
        <f>136500*1</f>
        <v>136500</v>
      </c>
      <c r="N8" s="38" t="s">
        <v>72</v>
      </c>
      <c r="O8" s="38"/>
      <c r="P8" s="38">
        <v>233</v>
      </c>
      <c r="Q8" s="119"/>
      <c r="R8" s="38" t="s">
        <v>27</v>
      </c>
      <c r="S8" s="120">
        <v>1450</v>
      </c>
      <c r="T8" s="121">
        <f>184800+136500</f>
        <v>321300</v>
      </c>
    </row>
    <row r="9" spans="1:20" s="117" customFormat="1" ht="15" customHeight="1">
      <c r="A9" s="358"/>
      <c r="B9" s="38" t="s">
        <v>55</v>
      </c>
      <c r="C9" s="163">
        <f t="shared" si="2"/>
        <v>4.329004329004329E-4</v>
      </c>
      <c r="D9" s="164">
        <v>231</v>
      </c>
      <c r="E9" s="163">
        <v>0.1</v>
      </c>
      <c r="F9" s="38" t="s">
        <v>4</v>
      </c>
      <c r="G9" s="120">
        <v>42000</v>
      </c>
      <c r="H9" s="121">
        <f t="shared" si="0"/>
        <v>4200</v>
      </c>
      <c r="I9" s="124">
        <f>229*17000</f>
        <v>3893000</v>
      </c>
      <c r="J9" s="117" t="s">
        <v>66</v>
      </c>
      <c r="K9" s="117">
        <v>60900</v>
      </c>
      <c r="L9" s="123">
        <f>K9*0.1</f>
        <v>6090</v>
      </c>
      <c r="N9" s="125" t="s">
        <v>25</v>
      </c>
      <c r="O9" s="125"/>
      <c r="P9" s="125"/>
      <c r="Q9" s="126"/>
      <c r="R9" s="127"/>
      <c r="S9" s="125"/>
      <c r="T9" s="121">
        <v>136716</v>
      </c>
    </row>
    <row r="10" spans="1:20" s="117" customFormat="1" ht="15" customHeight="1">
      <c r="A10" s="358"/>
      <c r="B10" s="162" t="s">
        <v>154</v>
      </c>
      <c r="C10" s="163"/>
      <c r="D10" s="166"/>
      <c r="E10" s="185">
        <v>8.1999999999999993</v>
      </c>
      <c r="F10" s="38" t="s">
        <v>1</v>
      </c>
      <c r="G10" s="120">
        <v>18900</v>
      </c>
      <c r="H10" s="121">
        <f t="shared" si="0"/>
        <v>154980</v>
      </c>
      <c r="I10" s="128">
        <f>H13-I9</f>
        <v>33999.5</v>
      </c>
      <c r="L10" s="123"/>
      <c r="N10" s="129"/>
      <c r="O10" s="129"/>
      <c r="P10" s="129"/>
      <c r="Q10" s="130"/>
      <c r="R10" s="131"/>
      <c r="S10" s="129"/>
      <c r="T10" s="132"/>
    </row>
    <row r="11" spans="1:20" s="117" customFormat="1" ht="15" customHeight="1">
      <c r="A11" s="358"/>
      <c r="B11" s="38" t="s">
        <v>66</v>
      </c>
      <c r="C11" s="146"/>
      <c r="D11" s="38"/>
      <c r="E11" s="119" t="s">
        <v>46</v>
      </c>
      <c r="F11" s="38" t="s">
        <v>1</v>
      </c>
      <c r="G11" s="120">
        <v>60900</v>
      </c>
      <c r="H11" s="121">
        <f t="shared" si="0"/>
        <v>6090</v>
      </c>
      <c r="I11" s="128"/>
      <c r="L11" s="123"/>
      <c r="N11" s="129"/>
      <c r="O11" s="129"/>
      <c r="P11" s="129"/>
      <c r="Q11" s="130"/>
      <c r="R11" s="131"/>
      <c r="S11" s="129"/>
      <c r="T11" s="132"/>
    </row>
    <row r="12" spans="1:20" s="117" customFormat="1" ht="15" customHeight="1">
      <c r="A12" s="358"/>
      <c r="B12" s="167" t="s">
        <v>25</v>
      </c>
      <c r="C12" s="146"/>
      <c r="D12" s="168"/>
      <c r="E12" s="169"/>
      <c r="F12" s="164" t="s">
        <v>1</v>
      </c>
      <c r="G12" s="120"/>
      <c r="H12" s="133">
        <f>136716-59</f>
        <v>136657</v>
      </c>
      <c r="L12" s="123"/>
      <c r="N12" s="129"/>
      <c r="O12" s="129"/>
      <c r="P12" s="129"/>
      <c r="Q12" s="130"/>
      <c r="R12" s="131"/>
      <c r="S12" s="129"/>
      <c r="T12" s="132"/>
    </row>
    <row r="13" spans="1:20" s="117" customFormat="1" ht="22.2" customHeight="1">
      <c r="A13" s="359"/>
      <c r="B13" s="361"/>
      <c r="C13" s="362"/>
      <c r="D13" s="362"/>
      <c r="E13" s="362"/>
      <c r="F13" s="362"/>
      <c r="G13" s="363"/>
      <c r="H13" s="139">
        <f>SUM(H5:H12)</f>
        <v>3926999.5</v>
      </c>
      <c r="I13" s="128">
        <f>H13-I6</f>
        <v>-0.5</v>
      </c>
      <c r="J13" s="117" t="s">
        <v>114</v>
      </c>
      <c r="K13" s="128">
        <v>68040</v>
      </c>
      <c r="L13" s="128">
        <f>0.1*K13</f>
        <v>6804</v>
      </c>
    </row>
    <row r="14" spans="1:20" s="117" customFormat="1" ht="15" customHeight="1">
      <c r="A14" s="349" t="s">
        <v>215</v>
      </c>
      <c r="B14" s="113" t="s">
        <v>22</v>
      </c>
      <c r="C14" s="140">
        <f>E14/D14</f>
        <v>0.11991341991341992</v>
      </c>
      <c r="D14" s="38">
        <v>231</v>
      </c>
      <c r="E14" s="186" t="s">
        <v>121</v>
      </c>
      <c r="F14" s="113" t="s">
        <v>1</v>
      </c>
      <c r="G14" s="141">
        <v>21525</v>
      </c>
      <c r="H14" s="115">
        <f>E14*G14</f>
        <v>596242.5</v>
      </c>
      <c r="I14" s="182">
        <f>H13-I6</f>
        <v>-0.5</v>
      </c>
      <c r="J14" s="128"/>
    </row>
    <row r="15" spans="1:20" s="117" customFormat="1" ht="15" customHeight="1">
      <c r="A15" s="350"/>
      <c r="B15" s="38" t="s">
        <v>87</v>
      </c>
      <c r="C15" s="142">
        <f t="shared" ref="C15:C16" si="3">E15/D15</f>
        <v>7.4458874458874461E-2</v>
      </c>
      <c r="D15" s="38">
        <v>231</v>
      </c>
      <c r="E15" s="143">
        <v>17.2</v>
      </c>
      <c r="F15" s="38" t="s">
        <v>1</v>
      </c>
      <c r="G15" s="120">
        <v>130200</v>
      </c>
      <c r="H15" s="121">
        <f>E15*G15-1892</f>
        <v>2237548</v>
      </c>
      <c r="I15" s="123">
        <f>231*17000</f>
        <v>3927000</v>
      </c>
      <c r="J15" s="124">
        <f>232*17000</f>
        <v>3944000</v>
      </c>
    </row>
    <row r="16" spans="1:20" s="117" customFormat="1" ht="15" customHeight="1">
      <c r="A16" s="350"/>
      <c r="B16" s="38" t="s">
        <v>43</v>
      </c>
      <c r="C16" s="144">
        <f t="shared" si="3"/>
        <v>0.5670995670995671</v>
      </c>
      <c r="D16" s="38">
        <v>231</v>
      </c>
      <c r="E16" s="119" t="s">
        <v>185</v>
      </c>
      <c r="F16" s="38" t="s">
        <v>1</v>
      </c>
      <c r="G16" s="120">
        <v>3456</v>
      </c>
      <c r="H16" s="121">
        <f>E16*G16</f>
        <v>452736</v>
      </c>
    </row>
    <row r="17" spans="1:13" s="117" customFormat="1" ht="15" customHeight="1">
      <c r="A17" s="350"/>
      <c r="B17" s="38" t="s">
        <v>78</v>
      </c>
      <c r="C17" s="144"/>
      <c r="D17" s="38">
        <v>231</v>
      </c>
      <c r="E17" s="119" t="s">
        <v>48</v>
      </c>
      <c r="F17" s="38" t="s">
        <v>1</v>
      </c>
      <c r="G17" s="120">
        <v>78750</v>
      </c>
      <c r="H17" s="121">
        <f t="shared" ref="H17:H21" si="4">E17*G17</f>
        <v>236250</v>
      </c>
      <c r="I17" s="135">
        <f>I15-H23</f>
        <v>0.5</v>
      </c>
    </row>
    <row r="18" spans="1:13" s="117" customFormat="1" ht="15" customHeight="1">
      <c r="A18" s="350"/>
      <c r="B18" s="38" t="s">
        <v>79</v>
      </c>
      <c r="C18" s="144"/>
      <c r="D18" s="38">
        <v>231</v>
      </c>
      <c r="E18" s="119" t="s">
        <v>109</v>
      </c>
      <c r="F18" s="38" t="s">
        <v>4</v>
      </c>
      <c r="G18" s="120">
        <v>20478</v>
      </c>
      <c r="H18" s="121">
        <f t="shared" si="4"/>
        <v>245736</v>
      </c>
    </row>
    <row r="19" spans="1:13" s="117" customFormat="1" ht="15" customHeight="1">
      <c r="A19" s="350"/>
      <c r="B19" s="38" t="s">
        <v>81</v>
      </c>
      <c r="C19" s="38"/>
      <c r="D19" s="38">
        <v>231</v>
      </c>
      <c r="E19" s="119" t="s">
        <v>46</v>
      </c>
      <c r="F19" s="38" t="s">
        <v>1</v>
      </c>
      <c r="G19" s="120">
        <v>63000</v>
      </c>
      <c r="H19" s="121">
        <f t="shared" si="4"/>
        <v>6300</v>
      </c>
    </row>
    <row r="20" spans="1:13" s="117" customFormat="1" ht="15" customHeight="1">
      <c r="A20" s="350"/>
      <c r="B20" s="38" t="s">
        <v>66</v>
      </c>
      <c r="C20" s="146"/>
      <c r="D20" s="38">
        <v>231</v>
      </c>
      <c r="E20" s="119" t="s">
        <v>46</v>
      </c>
      <c r="F20" s="38" t="s">
        <v>1</v>
      </c>
      <c r="G20" s="120">
        <v>60900</v>
      </c>
      <c r="H20" s="121">
        <f t="shared" si="4"/>
        <v>6090</v>
      </c>
    </row>
    <row r="21" spans="1:13" s="117" customFormat="1" ht="15" customHeight="1">
      <c r="A21" s="351"/>
      <c r="B21" s="38" t="s">
        <v>82</v>
      </c>
      <c r="C21" s="125"/>
      <c r="D21" s="38">
        <v>231</v>
      </c>
      <c r="E21" s="119" t="s">
        <v>57</v>
      </c>
      <c r="F21" s="38" t="s">
        <v>1</v>
      </c>
      <c r="G21" s="120">
        <v>42000</v>
      </c>
      <c r="H21" s="121">
        <f t="shared" si="4"/>
        <v>8400</v>
      </c>
    </row>
    <row r="22" spans="1:13" s="117" customFormat="1" ht="15" customHeight="1">
      <c r="A22" s="351"/>
      <c r="B22" s="125" t="s">
        <v>25</v>
      </c>
      <c r="C22" s="125"/>
      <c r="D22" s="38">
        <v>231</v>
      </c>
      <c r="E22" s="126"/>
      <c r="F22" s="127"/>
      <c r="G22" s="125"/>
      <c r="H22" s="133">
        <f>136716+982-1</f>
        <v>137697</v>
      </c>
    </row>
    <row r="23" spans="1:13" s="148" customFormat="1" ht="18.600000000000001" customHeight="1">
      <c r="A23" s="149"/>
      <c r="B23" s="150"/>
      <c r="C23" s="151"/>
      <c r="D23" s="151"/>
      <c r="E23" s="152"/>
      <c r="F23" s="153"/>
      <c r="G23" s="150"/>
      <c r="H23" s="154">
        <f>SUM(H14:H22)</f>
        <v>3926999.5</v>
      </c>
      <c r="I23" s="183">
        <f>I15-H23</f>
        <v>0.5</v>
      </c>
      <c r="L23" s="156"/>
      <c r="M23" s="157"/>
    </row>
    <row r="24" spans="1:13" s="232" customFormat="1" ht="15" customHeight="1">
      <c r="A24" s="241"/>
      <c r="B24" s="12" t="s">
        <v>22</v>
      </c>
      <c r="C24" s="142">
        <f t="shared" ref="C24:C26" si="5">E24/D24</f>
        <v>0.11991341991341992</v>
      </c>
      <c r="D24" s="17">
        <v>231</v>
      </c>
      <c r="E24" s="286" t="s">
        <v>121</v>
      </c>
      <c r="F24" s="12" t="s">
        <v>1</v>
      </c>
      <c r="G24" s="13">
        <v>21525</v>
      </c>
      <c r="H24" s="14">
        <f>E24*G24</f>
        <v>596242.5</v>
      </c>
      <c r="K24" s="231"/>
      <c r="L24" s="231"/>
    </row>
    <row r="25" spans="1:13" s="232" customFormat="1" ht="15" customHeight="1">
      <c r="A25" s="360" t="s">
        <v>217</v>
      </c>
      <c r="B25" s="38" t="s">
        <v>87</v>
      </c>
      <c r="C25" s="142">
        <f t="shared" si="5"/>
        <v>7.575757575757576E-2</v>
      </c>
      <c r="D25" s="38">
        <v>231</v>
      </c>
      <c r="E25" s="42">
        <v>17.5</v>
      </c>
      <c r="F25" s="38" t="s">
        <v>1</v>
      </c>
      <c r="G25" s="120">
        <v>130200</v>
      </c>
      <c r="H25" s="121">
        <f>E25*G25-1892</f>
        <v>2276608</v>
      </c>
      <c r="K25" s="231"/>
      <c r="L25" s="231"/>
    </row>
    <row r="26" spans="1:13" s="232" customFormat="1" ht="19.2" customHeight="1">
      <c r="A26" s="360"/>
      <c r="B26" s="38" t="s">
        <v>36</v>
      </c>
      <c r="C26" s="144">
        <f t="shared" si="5"/>
        <v>3.1601731601731603E-2</v>
      </c>
      <c r="D26" s="38">
        <v>231</v>
      </c>
      <c r="E26" s="287" t="s">
        <v>152</v>
      </c>
      <c r="F26" s="38" t="s">
        <v>1</v>
      </c>
      <c r="G26" s="120">
        <v>67200</v>
      </c>
      <c r="H26" s="121">
        <f>E26*G26</f>
        <v>490560</v>
      </c>
      <c r="I26" s="256">
        <f>231*17000</f>
        <v>3927000</v>
      </c>
      <c r="J26" s="231" t="e">
        <f>#REF!*15</f>
        <v>#REF!</v>
      </c>
      <c r="K26" s="231"/>
      <c r="L26" s="231"/>
    </row>
    <row r="27" spans="1:13" s="232" customFormat="1" ht="15" customHeight="1">
      <c r="A27" s="360"/>
      <c r="B27" s="17" t="s">
        <v>44</v>
      </c>
      <c r="C27" s="17"/>
      <c r="D27" s="17">
        <v>231</v>
      </c>
      <c r="E27" s="192">
        <v>2.2000000000000002</v>
      </c>
      <c r="F27" s="17" t="s">
        <v>1</v>
      </c>
      <c r="G27" s="19">
        <v>29400</v>
      </c>
      <c r="H27" s="19">
        <f>E27*G27</f>
        <v>64680.000000000007</v>
      </c>
      <c r="K27" s="231"/>
      <c r="L27" s="231"/>
    </row>
    <row r="28" spans="1:13" s="232" customFormat="1" ht="15" customHeight="1">
      <c r="A28" s="360"/>
      <c r="B28" s="17" t="s">
        <v>45</v>
      </c>
      <c r="C28" s="17"/>
      <c r="D28" s="17">
        <v>231</v>
      </c>
      <c r="E28" s="192">
        <v>1</v>
      </c>
      <c r="F28" s="17" t="s">
        <v>1</v>
      </c>
      <c r="G28" s="19">
        <v>164850</v>
      </c>
      <c r="H28" s="19">
        <f t="shared" ref="H28:H31" si="6">E28*G28</f>
        <v>164850</v>
      </c>
      <c r="K28" s="231"/>
      <c r="L28" s="231"/>
    </row>
    <row r="29" spans="1:13" s="232" customFormat="1" ht="15" customHeight="1">
      <c r="A29" s="360"/>
      <c r="B29" s="213" t="s">
        <v>187</v>
      </c>
      <c r="C29" s="272"/>
      <c r="D29" s="213"/>
      <c r="E29" s="273" t="s">
        <v>189</v>
      </c>
      <c r="F29" s="213" t="s">
        <v>188</v>
      </c>
      <c r="G29" s="270">
        <v>37800</v>
      </c>
      <c r="H29" s="271">
        <f>E29*G29</f>
        <v>75600</v>
      </c>
      <c r="K29" s="231"/>
      <c r="L29" s="231"/>
    </row>
    <row r="30" spans="1:13" s="232" customFormat="1" ht="15" customHeight="1">
      <c r="A30" s="360"/>
      <c r="B30" s="17" t="s">
        <v>14</v>
      </c>
      <c r="C30" s="17"/>
      <c r="D30" s="17"/>
      <c r="E30" s="192">
        <v>5</v>
      </c>
      <c r="F30" s="17" t="s">
        <v>1</v>
      </c>
      <c r="G30" s="18">
        <v>21000</v>
      </c>
      <c r="H30" s="19">
        <f t="shared" si="6"/>
        <v>105000</v>
      </c>
      <c r="K30" s="231"/>
      <c r="L30" s="231"/>
    </row>
    <row r="31" spans="1:13" s="232" customFormat="1" ht="15" customHeight="1">
      <c r="A31" s="360"/>
      <c r="B31" s="17" t="s">
        <v>12</v>
      </c>
      <c r="C31" s="17"/>
      <c r="D31" s="17"/>
      <c r="E31" s="287" t="s">
        <v>46</v>
      </c>
      <c r="F31" s="17" t="s">
        <v>1</v>
      </c>
      <c r="G31" s="18">
        <v>60900</v>
      </c>
      <c r="H31" s="19">
        <f t="shared" si="6"/>
        <v>6090</v>
      </c>
      <c r="I31" s="263">
        <f>230*17000</f>
        <v>3910000</v>
      </c>
      <c r="K31" s="231"/>
      <c r="L31" s="231"/>
    </row>
    <row r="32" spans="1:13" s="232" customFormat="1" ht="15" customHeight="1">
      <c r="A32" s="360"/>
      <c r="B32" s="20" t="s">
        <v>58</v>
      </c>
      <c r="C32" s="35"/>
      <c r="D32" s="17"/>
      <c r="E32" s="288" t="s">
        <v>57</v>
      </c>
      <c r="F32" s="17" t="s">
        <v>1</v>
      </c>
      <c r="G32" s="36">
        <v>49350</v>
      </c>
      <c r="H32" s="19">
        <f>E32*G32</f>
        <v>9870</v>
      </c>
      <c r="K32" s="231"/>
      <c r="L32" s="231"/>
    </row>
    <row r="33" spans="1:17" s="232" customFormat="1" ht="15" customHeight="1">
      <c r="A33" s="249"/>
      <c r="B33" s="20" t="s">
        <v>25</v>
      </c>
      <c r="C33" s="20"/>
      <c r="D33" s="20"/>
      <c r="E33" s="56"/>
      <c r="F33" s="21"/>
      <c r="G33" s="20"/>
      <c r="H33" s="285">
        <f>136716+783</f>
        <v>137499</v>
      </c>
      <c r="K33" s="231"/>
      <c r="L33" s="231"/>
    </row>
    <row r="34" spans="1:17" s="134" customFormat="1" ht="20.399999999999999" customHeight="1">
      <c r="A34" s="218"/>
      <c r="B34" s="20"/>
      <c r="C34" s="20"/>
      <c r="D34" s="20"/>
      <c r="E34" s="56"/>
      <c r="F34" s="21"/>
      <c r="G34" s="20"/>
      <c r="H34" s="5">
        <f>SUM(H24:H33)</f>
        <v>3926999.5</v>
      </c>
      <c r="I34" s="217">
        <f>H34-I26</f>
        <v>-0.5</v>
      </c>
      <c r="K34" s="217"/>
      <c r="L34" s="217"/>
    </row>
    <row r="35" spans="1:17" s="134" customFormat="1" ht="20.399999999999999" customHeight="1">
      <c r="A35" s="353" t="s">
        <v>218</v>
      </c>
      <c r="B35" s="111" t="s">
        <v>22</v>
      </c>
      <c r="C35" s="264">
        <f>E35/D35</f>
        <v>0.12000000000000001</v>
      </c>
      <c r="D35" s="213">
        <v>230</v>
      </c>
      <c r="E35" s="187" t="s">
        <v>143</v>
      </c>
      <c r="F35" s="265" t="s">
        <v>1</v>
      </c>
      <c r="G35" s="266">
        <v>21525</v>
      </c>
      <c r="H35" s="267">
        <f>E35*G35</f>
        <v>594090</v>
      </c>
      <c r="I35" s="217"/>
      <c r="K35" s="217"/>
      <c r="L35" s="217"/>
    </row>
    <row r="36" spans="1:17" s="134" customFormat="1" ht="20.399999999999999" customHeight="1">
      <c r="A36" s="354"/>
      <c r="B36" s="265" t="s">
        <v>184</v>
      </c>
      <c r="C36" s="268">
        <f t="shared" ref="C36:C38" si="7">E36/D36</f>
        <v>7.9565217391304358E-2</v>
      </c>
      <c r="D36" s="213">
        <v>230</v>
      </c>
      <c r="E36" s="187" t="s">
        <v>212</v>
      </c>
      <c r="F36" s="213" t="s">
        <v>1</v>
      </c>
      <c r="G36" s="266">
        <v>128100</v>
      </c>
      <c r="H36" s="271">
        <f>G36*E36</f>
        <v>2344230</v>
      </c>
      <c r="I36" s="217"/>
      <c r="J36" s="134">
        <f>231-2</f>
        <v>229</v>
      </c>
      <c r="K36" s="217"/>
      <c r="L36" s="217"/>
    </row>
    <row r="37" spans="1:17" s="134" customFormat="1" ht="20.399999999999999" customHeight="1">
      <c r="A37" s="354"/>
      <c r="B37" s="213" t="s">
        <v>6</v>
      </c>
      <c r="C37" s="268">
        <f t="shared" si="7"/>
        <v>4.3478260869565218E-3</v>
      </c>
      <c r="D37" s="213">
        <v>230</v>
      </c>
      <c r="E37" s="269">
        <v>1</v>
      </c>
      <c r="F37" s="213" t="s">
        <v>1</v>
      </c>
      <c r="G37" s="270">
        <v>137550</v>
      </c>
      <c r="H37" s="271">
        <f>E37*G37-1892</f>
        <v>135658</v>
      </c>
      <c r="I37" s="217"/>
      <c r="K37" s="217"/>
      <c r="L37" s="217"/>
    </row>
    <row r="38" spans="1:17" s="134" customFormat="1" ht="20.399999999999999" customHeight="1">
      <c r="A38" s="354"/>
      <c r="B38" s="213" t="s">
        <v>7</v>
      </c>
      <c r="C38" s="272">
        <f t="shared" si="7"/>
        <v>0.56956521739130439</v>
      </c>
      <c r="D38" s="213">
        <v>230</v>
      </c>
      <c r="E38" s="273" t="s">
        <v>185</v>
      </c>
      <c r="F38" s="213" t="s">
        <v>1</v>
      </c>
      <c r="G38" s="270">
        <v>3510</v>
      </c>
      <c r="H38" s="271">
        <f>E38*G38</f>
        <v>459810</v>
      </c>
      <c r="I38" s="217">
        <f>230*17000</f>
        <v>3910000</v>
      </c>
      <c r="K38" s="111" t="s">
        <v>22</v>
      </c>
      <c r="L38" s="264">
        <f>N38/M38</f>
        <v>0.11904761904761904</v>
      </c>
      <c r="M38" s="213">
        <v>231</v>
      </c>
      <c r="N38" s="187" t="s">
        <v>161</v>
      </c>
      <c r="O38" s="265" t="s">
        <v>1</v>
      </c>
      <c r="P38" s="266">
        <v>21525</v>
      </c>
      <c r="Q38" s="267">
        <f>N38*P38</f>
        <v>591937.5</v>
      </c>
    </row>
    <row r="39" spans="1:17" s="134" customFormat="1" ht="20.399999999999999" customHeight="1">
      <c r="A39" s="354"/>
      <c r="B39" s="213" t="s">
        <v>187</v>
      </c>
      <c r="C39" s="272"/>
      <c r="D39" s="213"/>
      <c r="E39" s="273" t="s">
        <v>189</v>
      </c>
      <c r="F39" s="213" t="s">
        <v>188</v>
      </c>
      <c r="G39" s="270">
        <v>37800</v>
      </c>
      <c r="H39" s="271">
        <f>E39*G39</f>
        <v>75600</v>
      </c>
      <c r="I39" s="217"/>
      <c r="K39" s="213" t="s">
        <v>6</v>
      </c>
      <c r="L39" s="268">
        <f t="shared" ref="L39:L42" si="8">N39/M39</f>
        <v>6.8398268398268403E-2</v>
      </c>
      <c r="M39" s="213">
        <v>231</v>
      </c>
      <c r="N39" s="269">
        <v>15.8</v>
      </c>
      <c r="O39" s="213" t="s">
        <v>1</v>
      </c>
      <c r="P39" s="270">
        <v>137550</v>
      </c>
      <c r="Q39" s="271">
        <f>N39*P39-1892</f>
        <v>2171398</v>
      </c>
    </row>
    <row r="40" spans="1:17" s="134" customFormat="1" ht="20.399999999999999" customHeight="1">
      <c r="A40" s="354"/>
      <c r="B40" s="213" t="s">
        <v>197</v>
      </c>
      <c r="C40" s="272"/>
      <c r="D40" s="213"/>
      <c r="E40" s="273" t="s">
        <v>26</v>
      </c>
      <c r="F40" s="213" t="s">
        <v>4</v>
      </c>
      <c r="G40" s="270">
        <v>44280</v>
      </c>
      <c r="H40" s="271">
        <f>E40*G40</f>
        <v>44280</v>
      </c>
      <c r="I40" s="217"/>
      <c r="K40" s="213" t="s">
        <v>34</v>
      </c>
      <c r="L40" s="272">
        <f t="shared" si="8"/>
        <v>3.3333333333333333E-2</v>
      </c>
      <c r="M40" s="213">
        <v>21</v>
      </c>
      <c r="N40" s="273" t="s">
        <v>35</v>
      </c>
      <c r="O40" s="213" t="s">
        <v>1</v>
      </c>
      <c r="P40" s="270">
        <v>304500</v>
      </c>
      <c r="Q40" s="271">
        <f>N40*P40</f>
        <v>213150</v>
      </c>
    </row>
    <row r="41" spans="1:17" s="134" customFormat="1" ht="20.399999999999999" customHeight="1">
      <c r="A41" s="354"/>
      <c r="B41" s="213" t="s">
        <v>198</v>
      </c>
      <c r="C41" s="272"/>
      <c r="D41" s="213"/>
      <c r="E41" s="273" t="s">
        <v>219</v>
      </c>
      <c r="F41" s="213" t="s">
        <v>1</v>
      </c>
      <c r="G41" s="270">
        <v>21000</v>
      </c>
      <c r="H41" s="271">
        <f t="shared" ref="H41:H43" si="9">E41*G41</f>
        <v>111300</v>
      </c>
      <c r="I41" s="217">
        <f>H45-I38</f>
        <v>0</v>
      </c>
      <c r="K41" s="213" t="s">
        <v>36</v>
      </c>
      <c r="L41" s="272">
        <f t="shared" si="8"/>
        <v>3.9301310043668124E-2</v>
      </c>
      <c r="M41" s="213">
        <v>229</v>
      </c>
      <c r="N41" s="273" t="s">
        <v>145</v>
      </c>
      <c r="O41" s="213" t="s">
        <v>1</v>
      </c>
      <c r="P41" s="270">
        <v>67200</v>
      </c>
      <c r="Q41" s="271">
        <f>N41*P41</f>
        <v>604800</v>
      </c>
    </row>
    <row r="42" spans="1:17" s="134" customFormat="1" ht="20.399999999999999" customHeight="1">
      <c r="A42" s="354"/>
      <c r="B42" s="213" t="s">
        <v>41</v>
      </c>
      <c r="C42" s="268"/>
      <c r="D42" s="213"/>
      <c r="E42" s="273" t="s">
        <v>46</v>
      </c>
      <c r="F42" s="213" t="s">
        <v>4</v>
      </c>
      <c r="G42" s="270">
        <v>42000</v>
      </c>
      <c r="H42" s="271">
        <f t="shared" si="9"/>
        <v>4200</v>
      </c>
      <c r="I42" s="217"/>
      <c r="K42" s="213" t="s">
        <v>94</v>
      </c>
      <c r="L42" s="272">
        <f t="shared" si="8"/>
        <v>3.2314410480349345E-2</v>
      </c>
      <c r="M42" s="213">
        <v>229</v>
      </c>
      <c r="N42" s="273" t="s">
        <v>139</v>
      </c>
      <c r="O42" s="213" t="s">
        <v>1</v>
      </c>
      <c r="P42" s="270">
        <v>22050</v>
      </c>
      <c r="Q42" s="271">
        <f t="shared" ref="Q42" si="10">N42*P42</f>
        <v>163170</v>
      </c>
    </row>
    <row r="43" spans="1:17" s="134" customFormat="1" ht="20.399999999999999" customHeight="1">
      <c r="A43" s="289"/>
      <c r="B43" s="213" t="s">
        <v>12</v>
      </c>
      <c r="C43" s="216"/>
      <c r="D43" s="213"/>
      <c r="E43" s="274">
        <v>0.1</v>
      </c>
      <c r="F43" s="213" t="s">
        <v>1</v>
      </c>
      <c r="G43" s="270">
        <v>60900</v>
      </c>
      <c r="H43" s="271">
        <f t="shared" si="9"/>
        <v>6090</v>
      </c>
      <c r="I43" s="217"/>
      <c r="K43" s="290"/>
      <c r="L43" s="272"/>
      <c r="M43" s="290"/>
      <c r="N43" s="291"/>
      <c r="O43" s="290"/>
      <c r="P43" s="292"/>
      <c r="Q43" s="293"/>
    </row>
    <row r="44" spans="1:17" s="134" customFormat="1" ht="20.399999999999999" customHeight="1">
      <c r="A44" s="289"/>
      <c r="B44" s="275" t="s">
        <v>25</v>
      </c>
      <c r="C44" s="275"/>
      <c r="D44" s="275"/>
      <c r="E44" s="276"/>
      <c r="F44" s="277"/>
      <c r="G44" s="275"/>
      <c r="H44" s="278">
        <f>136716-1974</f>
        <v>134742</v>
      </c>
      <c r="I44" s="217"/>
      <c r="K44" s="290"/>
      <c r="L44" s="272"/>
      <c r="M44" s="290"/>
      <c r="N44" s="291"/>
      <c r="O44" s="290"/>
      <c r="P44" s="292"/>
      <c r="Q44" s="293"/>
    </row>
    <row r="45" spans="1:17" s="134" customFormat="1" ht="20.399999999999999" customHeight="1">
      <c r="A45" s="218"/>
      <c r="B45" s="294"/>
      <c r="C45" s="220"/>
      <c r="D45" s="294"/>
      <c r="E45" s="295"/>
      <c r="F45" s="294"/>
      <c r="G45" s="296"/>
      <c r="H45" s="297">
        <f>SUM(H35:H44)</f>
        <v>3910000</v>
      </c>
      <c r="I45" s="217">
        <f>I38-H45</f>
        <v>0</v>
      </c>
      <c r="K45" s="275" t="s">
        <v>25</v>
      </c>
      <c r="L45" s="275"/>
      <c r="M45" s="275"/>
      <c r="N45" s="276"/>
      <c r="O45" s="277"/>
      <c r="P45" s="275"/>
      <c r="Q45" s="278">
        <f>136716+1538</f>
        <v>138254</v>
      </c>
    </row>
    <row r="46" spans="1:17" s="134" customFormat="1" ht="15" customHeight="1">
      <c r="A46" s="346" t="s">
        <v>220</v>
      </c>
      <c r="B46" s="111" t="s">
        <v>11</v>
      </c>
      <c r="C46" s="112">
        <f>E46/D46</f>
        <v>0.12000000000000001</v>
      </c>
      <c r="D46" s="38">
        <v>230</v>
      </c>
      <c r="E46" s="184">
        <v>27.6</v>
      </c>
      <c r="F46" s="113" t="s">
        <v>1</v>
      </c>
      <c r="G46" s="114">
        <v>21525</v>
      </c>
      <c r="H46" s="115">
        <f>E46*G46</f>
        <v>594090</v>
      </c>
      <c r="I46" s="284"/>
      <c r="J46" s="217"/>
    </row>
    <row r="47" spans="1:17" s="134" customFormat="1" ht="15" customHeight="1">
      <c r="A47" s="346"/>
      <c r="B47" s="38" t="s">
        <v>42</v>
      </c>
      <c r="C47" s="38">
        <f>E47/D47</f>
        <v>5.8260869565217394E-2</v>
      </c>
      <c r="D47" s="38">
        <v>230</v>
      </c>
      <c r="E47" s="163">
        <v>13.4</v>
      </c>
      <c r="F47" s="38" t="s">
        <v>1</v>
      </c>
      <c r="G47" s="120">
        <v>172800</v>
      </c>
      <c r="H47" s="121">
        <f>E47*G47</f>
        <v>2315520</v>
      </c>
      <c r="J47" s="280">
        <f>231*17000</f>
        <v>3927000</v>
      </c>
    </row>
    <row r="48" spans="1:17" s="134" customFormat="1" ht="15" customHeight="1">
      <c r="A48" s="346"/>
      <c r="B48" s="38" t="s">
        <v>43</v>
      </c>
      <c r="C48" s="38">
        <f t="shared" ref="C48:C51" si="11">E48/D48</f>
        <v>0.56956521739130439</v>
      </c>
      <c r="D48" s="38">
        <v>230</v>
      </c>
      <c r="E48" s="163">
        <v>131</v>
      </c>
      <c r="F48" s="38" t="s">
        <v>1</v>
      </c>
      <c r="G48" s="120">
        <v>3456</v>
      </c>
      <c r="H48" s="121">
        <f t="shared" ref="H48:H53" si="12">E48*G48</f>
        <v>452736</v>
      </c>
    </row>
    <row r="49" spans="1:13" s="134" customFormat="1" ht="15" customHeight="1">
      <c r="A49" s="346"/>
      <c r="B49" s="38" t="s">
        <v>44</v>
      </c>
      <c r="C49" s="38">
        <f t="shared" si="11"/>
        <v>2.2608695652173914E-2</v>
      </c>
      <c r="D49" s="38">
        <v>230</v>
      </c>
      <c r="E49" s="163">
        <v>5.2</v>
      </c>
      <c r="F49" s="38" t="s">
        <v>1</v>
      </c>
      <c r="G49" s="120">
        <v>23100</v>
      </c>
      <c r="H49" s="121">
        <f t="shared" si="12"/>
        <v>120120</v>
      </c>
    </row>
    <row r="50" spans="1:13" s="134" customFormat="1" ht="15" customHeight="1">
      <c r="A50" s="279"/>
      <c r="B50" s="38" t="s">
        <v>153</v>
      </c>
      <c r="C50" s="142">
        <f t="shared" si="11"/>
        <v>4.3478260869565218E-3</v>
      </c>
      <c r="D50" s="164">
        <v>230</v>
      </c>
      <c r="E50" s="163">
        <v>1</v>
      </c>
      <c r="F50" s="38" t="s">
        <v>4</v>
      </c>
      <c r="G50" s="120">
        <v>137550</v>
      </c>
      <c r="H50" s="121">
        <f t="shared" si="12"/>
        <v>137550</v>
      </c>
    </row>
    <row r="51" spans="1:13" s="134" customFormat="1" ht="15" customHeight="1">
      <c r="A51" s="279"/>
      <c r="B51" s="38" t="s">
        <v>55</v>
      </c>
      <c r="C51" s="163">
        <f t="shared" si="11"/>
        <v>4.3478260869565219E-4</v>
      </c>
      <c r="D51" s="164">
        <v>230</v>
      </c>
      <c r="E51" s="163">
        <v>0.1</v>
      </c>
      <c r="F51" s="38" t="s">
        <v>4</v>
      </c>
      <c r="G51" s="120">
        <v>42000</v>
      </c>
      <c r="H51" s="121">
        <f t="shared" si="12"/>
        <v>4200</v>
      </c>
    </row>
    <row r="52" spans="1:13" s="134" customFormat="1" ht="15" customHeight="1">
      <c r="A52" s="279"/>
      <c r="B52" s="162" t="s">
        <v>154</v>
      </c>
      <c r="C52" s="163"/>
      <c r="D52" s="166"/>
      <c r="E52" s="185">
        <v>7.7</v>
      </c>
      <c r="F52" s="38" t="s">
        <v>1</v>
      </c>
      <c r="G52" s="120">
        <v>18900</v>
      </c>
      <c r="H52" s="121">
        <f t="shared" si="12"/>
        <v>145530</v>
      </c>
    </row>
    <row r="53" spans="1:13" s="134" customFormat="1" ht="15" customHeight="1">
      <c r="A53" s="279"/>
      <c r="B53" s="38" t="s">
        <v>12</v>
      </c>
      <c r="C53" s="38"/>
      <c r="D53" s="38"/>
      <c r="E53" s="163">
        <v>0.1</v>
      </c>
      <c r="F53" s="38" t="s">
        <v>1</v>
      </c>
      <c r="G53" s="120">
        <v>60900</v>
      </c>
      <c r="H53" s="121">
        <f t="shared" si="12"/>
        <v>6090</v>
      </c>
    </row>
    <row r="54" spans="1:13" s="134" customFormat="1" ht="15" customHeight="1">
      <c r="A54" s="279"/>
      <c r="B54" s="125" t="s">
        <v>25</v>
      </c>
      <c r="C54" s="125"/>
      <c r="D54" s="125"/>
      <c r="E54" s="126"/>
      <c r="F54" s="127"/>
      <c r="G54" s="125"/>
      <c r="H54" s="278">
        <f>136716-2552</f>
        <v>134164</v>
      </c>
    </row>
    <row r="55" spans="1:13" s="155" customFormat="1" ht="19.8" customHeight="1">
      <c r="A55" s="222"/>
      <c r="B55" s="175"/>
      <c r="C55" s="175"/>
      <c r="D55" s="175"/>
      <c r="E55" s="223"/>
      <c r="F55" s="224"/>
      <c r="G55" s="175"/>
      <c r="H55" s="225">
        <f>SUM(H46:H54)</f>
        <v>3910000</v>
      </c>
      <c r="I55" s="183">
        <f>H55-I38</f>
        <v>0</v>
      </c>
      <c r="J55" s="183">
        <f>H55-J47</f>
        <v>-17000</v>
      </c>
      <c r="M55" s="134"/>
    </row>
    <row r="56" spans="1:13">
      <c r="A56" s="107"/>
      <c r="B56" s="107"/>
      <c r="C56" s="107"/>
      <c r="D56" s="107"/>
      <c r="E56" s="108"/>
    </row>
    <row r="57" spans="1:13" ht="18">
      <c r="A57" s="347" t="s">
        <v>28</v>
      </c>
      <c r="B57" s="347"/>
      <c r="C57" s="347" t="s">
        <v>29</v>
      </c>
      <c r="D57" s="347"/>
      <c r="E57" s="347"/>
      <c r="F57" s="1"/>
      <c r="G57" s="347" t="s">
        <v>30</v>
      </c>
      <c r="H57" s="347"/>
    </row>
    <row r="58" spans="1:13" ht="18">
      <c r="A58" s="33"/>
      <c r="B58" s="33"/>
      <c r="C58" s="33"/>
      <c r="D58" s="33"/>
      <c r="E58" s="33"/>
      <c r="F58" s="1"/>
      <c r="G58" s="33"/>
      <c r="H58" s="33"/>
    </row>
    <row r="59" spans="1:13" ht="18">
      <c r="A59" s="33"/>
      <c r="B59" s="33"/>
      <c r="C59" s="33"/>
      <c r="D59" s="33"/>
      <c r="E59" s="33"/>
      <c r="F59" s="1"/>
      <c r="G59" s="33"/>
      <c r="H59" s="33"/>
    </row>
    <row r="60" spans="1:13" ht="18">
      <c r="A60" s="33"/>
      <c r="B60" s="33"/>
      <c r="C60" s="33"/>
      <c r="D60" s="33"/>
      <c r="E60" s="33"/>
      <c r="F60" s="1"/>
      <c r="G60" s="33"/>
      <c r="H60" s="33"/>
    </row>
    <row r="61" spans="1:13" ht="18">
      <c r="A61" s="33"/>
      <c r="B61" s="33"/>
      <c r="C61" s="33"/>
      <c r="D61" s="33"/>
      <c r="E61" s="33"/>
      <c r="F61" s="1"/>
      <c r="G61" s="33"/>
      <c r="H61" s="33"/>
    </row>
    <row r="62" spans="1:13" ht="18">
      <c r="A62" s="33"/>
      <c r="B62" s="33"/>
      <c r="C62" s="33"/>
      <c r="D62" s="33"/>
      <c r="E62" s="33"/>
      <c r="F62" s="1"/>
      <c r="G62" s="33"/>
      <c r="H62" s="33"/>
    </row>
    <row r="63" spans="1:13" ht="18">
      <c r="A63" s="33"/>
      <c r="B63" s="33"/>
      <c r="C63" s="33"/>
      <c r="D63" s="33"/>
      <c r="E63" s="33"/>
      <c r="F63" s="1"/>
      <c r="G63" s="33"/>
      <c r="H63" s="33"/>
    </row>
    <row r="64" spans="1:13" ht="18">
      <c r="A64" s="33"/>
      <c r="B64" s="33"/>
      <c r="C64" s="33"/>
      <c r="D64" s="33"/>
      <c r="E64" s="33"/>
      <c r="F64" s="1"/>
      <c r="G64" s="33"/>
      <c r="H64" s="33"/>
    </row>
    <row r="65" spans="1:8" ht="18">
      <c r="A65" s="33"/>
      <c r="B65" s="33"/>
      <c r="C65" s="33"/>
      <c r="D65" s="33"/>
      <c r="E65" s="33"/>
      <c r="F65" s="1"/>
      <c r="G65" s="33"/>
      <c r="H65" s="33"/>
    </row>
    <row r="66" spans="1:8" ht="18">
      <c r="A66" s="33"/>
      <c r="B66" s="33"/>
      <c r="C66" s="33"/>
      <c r="D66" s="33"/>
      <c r="E66" s="33"/>
      <c r="F66" s="1"/>
      <c r="G66" s="33"/>
      <c r="H66" s="33"/>
    </row>
    <row r="67" spans="1:8" ht="18">
      <c r="A67" s="33"/>
      <c r="B67" s="33"/>
      <c r="C67" s="33"/>
      <c r="D67" s="33"/>
      <c r="E67" s="33"/>
      <c r="F67" s="1"/>
      <c r="G67" s="33"/>
      <c r="H67" s="33"/>
    </row>
    <row r="68" spans="1:8" ht="18">
      <c r="A68" s="33"/>
      <c r="B68" s="33"/>
      <c r="C68" s="33"/>
      <c r="D68" s="33"/>
      <c r="E68" s="33"/>
      <c r="F68" s="1"/>
      <c r="G68" s="33"/>
      <c r="H68" s="33"/>
    </row>
    <row r="69" spans="1:8" ht="18">
      <c r="A69" s="33"/>
      <c r="B69" s="33"/>
      <c r="C69" s="33"/>
      <c r="D69" s="33"/>
      <c r="E69" s="33"/>
      <c r="F69" s="1"/>
      <c r="G69" s="33"/>
      <c r="H69" s="33"/>
    </row>
    <row r="70" spans="1:8" ht="18">
      <c r="A70" s="33"/>
      <c r="B70" s="33"/>
      <c r="C70" s="33"/>
      <c r="D70" s="33"/>
      <c r="E70" s="33"/>
      <c r="F70" s="1"/>
      <c r="G70" s="33"/>
      <c r="H70" s="33"/>
    </row>
    <row r="71" spans="1:8" ht="18">
      <c r="A71" s="33"/>
      <c r="B71" s="33"/>
      <c r="C71" s="33"/>
      <c r="D71" s="33"/>
      <c r="E71" s="33"/>
      <c r="F71" s="1"/>
      <c r="G71" s="33"/>
      <c r="H71" s="33"/>
    </row>
    <row r="72" spans="1:8" ht="18">
      <c r="A72" s="33"/>
      <c r="B72" s="33"/>
      <c r="C72" s="33"/>
      <c r="D72" s="33"/>
      <c r="E72" s="33"/>
      <c r="F72" s="1"/>
      <c r="G72" s="33"/>
      <c r="H72" s="33"/>
    </row>
    <row r="73" spans="1:8" ht="18">
      <c r="A73" s="33"/>
      <c r="B73" s="33"/>
      <c r="C73" s="33"/>
      <c r="D73" s="33"/>
      <c r="E73" s="33"/>
      <c r="F73" s="1"/>
      <c r="G73" s="33"/>
      <c r="H73" s="33"/>
    </row>
    <row r="74" spans="1:8" ht="18">
      <c r="A74" s="33"/>
      <c r="B74" s="33"/>
      <c r="C74" s="33"/>
      <c r="D74" s="33"/>
      <c r="E74" s="33"/>
      <c r="F74" s="1"/>
      <c r="G74" s="33"/>
      <c r="H74" s="33"/>
    </row>
    <row r="75" spans="1:8" ht="18">
      <c r="A75" s="33"/>
      <c r="B75" s="33"/>
      <c r="C75" s="33"/>
      <c r="D75" s="33"/>
      <c r="E75" s="33"/>
      <c r="F75" s="1"/>
      <c r="G75" s="33"/>
      <c r="H75" s="33"/>
    </row>
    <row r="76" spans="1:8" ht="18">
      <c r="A76" s="33"/>
      <c r="B76" s="33"/>
      <c r="C76" s="33"/>
      <c r="D76" s="33"/>
      <c r="E76" s="33"/>
      <c r="F76" s="1"/>
      <c r="G76" s="33"/>
      <c r="H76" s="33"/>
    </row>
    <row r="77" spans="1:8" ht="18">
      <c r="A77" s="33"/>
      <c r="B77" s="33"/>
      <c r="C77" s="33"/>
      <c r="D77" s="33"/>
      <c r="E77" s="33"/>
      <c r="F77" s="1"/>
      <c r="G77" s="33"/>
      <c r="H77" s="33"/>
    </row>
    <row r="78" spans="1:8" ht="18">
      <c r="A78" s="33"/>
      <c r="B78" s="33"/>
      <c r="C78" s="33"/>
      <c r="D78" s="33"/>
      <c r="E78" s="33"/>
      <c r="F78" s="1"/>
      <c r="G78" s="33"/>
      <c r="H78" s="33"/>
    </row>
    <row r="79" spans="1:8" ht="18">
      <c r="A79" s="33"/>
      <c r="B79" s="33"/>
      <c r="C79" s="33"/>
      <c r="D79" s="33"/>
      <c r="E79" s="33"/>
      <c r="F79" s="1"/>
      <c r="G79" s="33"/>
      <c r="H79" s="33"/>
    </row>
    <row r="80" spans="1:8" ht="18">
      <c r="A80" s="33"/>
      <c r="B80" s="33"/>
      <c r="C80" s="33"/>
      <c r="D80" s="33"/>
      <c r="E80" s="33"/>
      <c r="F80" s="1"/>
      <c r="G80" s="33"/>
      <c r="H80" s="33"/>
    </row>
    <row r="81" spans="1:20" ht="18">
      <c r="A81" s="33"/>
      <c r="B81" s="33"/>
      <c r="C81" s="33"/>
      <c r="D81" s="33"/>
      <c r="E81" s="33"/>
      <c r="F81" s="1"/>
      <c r="G81" s="33"/>
      <c r="H81" s="33"/>
    </row>
    <row r="82" spans="1:20" ht="18">
      <c r="A82" s="33"/>
      <c r="B82" s="33"/>
      <c r="C82" s="33"/>
      <c r="D82" s="33"/>
      <c r="E82" s="33"/>
      <c r="F82" s="1"/>
      <c r="G82" s="33"/>
      <c r="H82" s="33"/>
    </row>
    <row r="83" spans="1:20" ht="18">
      <c r="A83" s="33"/>
      <c r="B83" s="33"/>
      <c r="C83" s="33"/>
      <c r="D83" s="33"/>
      <c r="E83" s="33"/>
      <c r="F83" s="1"/>
      <c r="G83" s="33"/>
      <c r="H83" s="33"/>
    </row>
    <row r="84" spans="1:20" ht="18">
      <c r="A84" s="33"/>
      <c r="B84" s="33"/>
      <c r="C84" s="33"/>
      <c r="D84" s="33"/>
      <c r="E84" s="33"/>
      <c r="F84" s="1"/>
      <c r="G84" s="33"/>
      <c r="H84" s="33"/>
    </row>
    <row r="93" spans="1:20" ht="15.6">
      <c r="A93" s="6" t="s">
        <v>0</v>
      </c>
      <c r="B93" s="6"/>
    </row>
    <row r="94" spans="1:20" s="110" customFormat="1" ht="16.8" customHeight="1">
      <c r="A94" s="347" t="s">
        <v>176</v>
      </c>
      <c r="B94" s="347"/>
      <c r="C94" s="347"/>
      <c r="D94" s="347"/>
      <c r="E94" s="347"/>
      <c r="F94" s="347"/>
      <c r="G94" s="347"/>
      <c r="H94" s="347"/>
      <c r="I94" s="181">
        <f>1996200/15</f>
        <v>133080</v>
      </c>
    </row>
    <row r="95" spans="1:20" s="110" customFormat="1" ht="16.8" customHeight="1">
      <c r="A95" s="109"/>
      <c r="B95" s="348" t="s">
        <v>202</v>
      </c>
      <c r="C95" s="348"/>
      <c r="D95" s="348"/>
      <c r="E95" s="348"/>
      <c r="F95" s="348"/>
      <c r="G95" s="348"/>
      <c r="H95" s="348"/>
    </row>
    <row r="96" spans="1:20" ht="15" customHeight="1">
      <c r="A96" s="7" t="s">
        <v>15</v>
      </c>
      <c r="B96" s="8" t="s">
        <v>16</v>
      </c>
      <c r="C96" s="9" t="s">
        <v>17</v>
      </c>
      <c r="D96" s="10" t="s">
        <v>18</v>
      </c>
      <c r="E96" s="45" t="s">
        <v>19</v>
      </c>
      <c r="F96" s="11" t="s">
        <v>5</v>
      </c>
      <c r="G96" s="7" t="s">
        <v>20</v>
      </c>
      <c r="H96" s="7" t="s">
        <v>21</v>
      </c>
      <c r="K96">
        <f>225*17000</f>
        <v>3825000</v>
      </c>
      <c r="L96" t="s">
        <v>33</v>
      </c>
      <c r="N96" s="12" t="s">
        <v>22</v>
      </c>
      <c r="O96" s="92">
        <f>Q96/P96</f>
        <v>0.11931330472103005</v>
      </c>
      <c r="P96" s="17">
        <v>233</v>
      </c>
      <c r="Q96" s="53" t="s">
        <v>108</v>
      </c>
      <c r="R96" s="12" t="s">
        <v>1</v>
      </c>
      <c r="S96" s="13">
        <v>21525</v>
      </c>
      <c r="T96" s="14">
        <f>Q96*S96</f>
        <v>598395</v>
      </c>
    </row>
    <row r="97" spans="1:20" s="117" customFormat="1" ht="15" customHeight="1">
      <c r="A97" s="356" t="s">
        <v>206</v>
      </c>
      <c r="B97" s="113" t="s">
        <v>22</v>
      </c>
      <c r="C97" s="140">
        <f>E97/D97</f>
        <v>0.11974248927038626</v>
      </c>
      <c r="D97" s="38">
        <v>233</v>
      </c>
      <c r="E97" s="186" t="s">
        <v>203</v>
      </c>
      <c r="F97" s="113" t="s">
        <v>1</v>
      </c>
      <c r="G97" s="141">
        <v>21525</v>
      </c>
      <c r="H97" s="115">
        <f>E97*G97</f>
        <v>600547.5</v>
      </c>
      <c r="I97" s="116"/>
      <c r="N97" s="38" t="s">
        <v>6</v>
      </c>
      <c r="O97" s="118">
        <f>Q97/P97</f>
        <v>6.5236051502145925E-2</v>
      </c>
      <c r="P97" s="38">
        <v>233</v>
      </c>
      <c r="Q97" s="119" t="s">
        <v>124</v>
      </c>
      <c r="R97" s="38" t="s">
        <v>1</v>
      </c>
      <c r="S97" s="120">
        <v>136500</v>
      </c>
      <c r="T97" s="121">
        <f>Q97*S97</f>
        <v>2074800</v>
      </c>
    </row>
    <row r="98" spans="1:20" s="117" customFormat="1" ht="15" customHeight="1">
      <c r="A98" s="357"/>
      <c r="B98" s="38" t="s">
        <v>87</v>
      </c>
      <c r="C98" s="142">
        <f t="shared" ref="C98:C99" si="13">E98/D98</f>
        <v>7.3819742489270382E-2</v>
      </c>
      <c r="D98" s="38">
        <v>233</v>
      </c>
      <c r="E98" s="143">
        <v>17.2</v>
      </c>
      <c r="F98" s="38" t="s">
        <v>1</v>
      </c>
      <c r="G98" s="120">
        <v>130200</v>
      </c>
      <c r="H98" s="121">
        <f>E98*G98-1892</f>
        <v>2237548</v>
      </c>
      <c r="I98" s="124">
        <f>233*17000</f>
        <v>3961000</v>
      </c>
      <c r="N98" s="38" t="s">
        <v>34</v>
      </c>
      <c r="O98" s="118">
        <f t="shared" ref="O98:O99" si="14">Q98/P98</f>
        <v>3.004291845493562E-3</v>
      </c>
      <c r="P98" s="38">
        <v>233</v>
      </c>
      <c r="Q98" s="119" t="s">
        <v>35</v>
      </c>
      <c r="R98" s="38" t="s">
        <v>1</v>
      </c>
      <c r="S98" s="120">
        <v>306600</v>
      </c>
      <c r="T98" s="121">
        <f>Q98*S98</f>
        <v>214620</v>
      </c>
    </row>
    <row r="99" spans="1:20" s="117" customFormat="1" ht="15" customHeight="1">
      <c r="A99" s="358"/>
      <c r="B99" s="38" t="s">
        <v>36</v>
      </c>
      <c r="C99" s="144">
        <f t="shared" si="13"/>
        <v>3.0472103004291845E-2</v>
      </c>
      <c r="D99" s="38">
        <v>233</v>
      </c>
      <c r="E99" s="119" t="s">
        <v>126</v>
      </c>
      <c r="F99" s="38" t="s">
        <v>1</v>
      </c>
      <c r="G99" s="120">
        <v>67200</v>
      </c>
      <c r="H99" s="121">
        <f>E99*G99</f>
        <v>477120</v>
      </c>
      <c r="I99" s="128">
        <f>I98-H106</f>
        <v>0.10000000009313226</v>
      </c>
      <c r="J99" s="117" t="s">
        <v>71</v>
      </c>
      <c r="K99" s="117">
        <v>22050</v>
      </c>
      <c r="L99" s="123">
        <f>K99*5</f>
        <v>110250</v>
      </c>
      <c r="M99" s="117" t="s">
        <v>88</v>
      </c>
      <c r="N99" s="38" t="s">
        <v>36</v>
      </c>
      <c r="O99" s="118">
        <f t="shared" si="14"/>
        <v>3.733905579399141E-2</v>
      </c>
      <c r="P99" s="38">
        <v>233</v>
      </c>
      <c r="Q99" s="119" t="s">
        <v>112</v>
      </c>
      <c r="R99" s="38" t="s">
        <v>1</v>
      </c>
      <c r="S99" s="120">
        <v>67200</v>
      </c>
      <c r="T99" s="121">
        <f>Q99*S99</f>
        <v>584640</v>
      </c>
    </row>
    <row r="100" spans="1:20" s="117" customFormat="1" ht="15" customHeight="1">
      <c r="A100" s="358"/>
      <c r="B100" s="38" t="s">
        <v>78</v>
      </c>
      <c r="C100" s="144"/>
      <c r="D100" s="38">
        <v>233</v>
      </c>
      <c r="E100" s="119" t="s">
        <v>48</v>
      </c>
      <c r="F100" s="38" t="s">
        <v>1</v>
      </c>
      <c r="G100" s="120">
        <v>78750</v>
      </c>
      <c r="H100" s="121">
        <f t="shared" ref="H100:H104" si="15">E100*G100</f>
        <v>236250</v>
      </c>
      <c r="J100" s="117" t="s">
        <v>39</v>
      </c>
      <c r="K100" s="117" t="s">
        <v>40</v>
      </c>
      <c r="L100" s="123">
        <f>136500*1</f>
        <v>136500</v>
      </c>
      <c r="N100" s="38" t="s">
        <v>72</v>
      </c>
      <c r="O100" s="38"/>
      <c r="P100" s="38">
        <v>233</v>
      </c>
      <c r="Q100" s="119"/>
      <c r="R100" s="38" t="s">
        <v>27</v>
      </c>
      <c r="S100" s="120">
        <v>1450</v>
      </c>
      <c r="T100" s="121">
        <f>184800+136500</f>
        <v>321300</v>
      </c>
    </row>
    <row r="101" spans="1:20" s="117" customFormat="1" ht="15" customHeight="1">
      <c r="A101" s="358"/>
      <c r="B101" s="38" t="s">
        <v>79</v>
      </c>
      <c r="C101" s="144"/>
      <c r="D101" s="38">
        <v>233</v>
      </c>
      <c r="E101" s="119" t="s">
        <v>204</v>
      </c>
      <c r="F101" s="38" t="s">
        <v>4</v>
      </c>
      <c r="G101" s="120">
        <v>20478</v>
      </c>
      <c r="H101" s="121">
        <f t="shared" si="15"/>
        <v>251879.40000000002</v>
      </c>
      <c r="I101" s="124">
        <f>229*17000</f>
        <v>3893000</v>
      </c>
      <c r="J101" s="117" t="s">
        <v>66</v>
      </c>
      <c r="K101" s="117">
        <v>60900</v>
      </c>
      <c r="L101" s="123">
        <f>K101*0.1</f>
        <v>6090</v>
      </c>
      <c r="N101" s="125" t="s">
        <v>25</v>
      </c>
      <c r="O101" s="125"/>
      <c r="P101" s="125"/>
      <c r="Q101" s="126"/>
      <c r="R101" s="127"/>
      <c r="S101" s="125"/>
      <c r="T101" s="121">
        <v>136716</v>
      </c>
    </row>
    <row r="102" spans="1:20" s="117" customFormat="1" ht="15" customHeight="1">
      <c r="A102" s="358"/>
      <c r="B102" s="38" t="s">
        <v>81</v>
      </c>
      <c r="C102" s="38"/>
      <c r="D102" s="38">
        <v>233</v>
      </c>
      <c r="E102" s="119" t="s">
        <v>46</v>
      </c>
      <c r="F102" s="38" t="s">
        <v>1</v>
      </c>
      <c r="G102" s="120">
        <v>63000</v>
      </c>
      <c r="H102" s="121">
        <f t="shared" si="15"/>
        <v>6300</v>
      </c>
      <c r="I102" s="128">
        <f>H106-I101</f>
        <v>67999.899999999907</v>
      </c>
      <c r="L102" s="123"/>
      <c r="N102" s="129"/>
      <c r="O102" s="129"/>
      <c r="P102" s="129"/>
      <c r="Q102" s="130"/>
      <c r="R102" s="131"/>
      <c r="S102" s="129"/>
      <c r="T102" s="132"/>
    </row>
    <row r="103" spans="1:20" s="117" customFormat="1" ht="15" customHeight="1">
      <c r="A103" s="358"/>
      <c r="B103" s="38" t="s">
        <v>66</v>
      </c>
      <c r="C103" s="146"/>
      <c r="D103" s="38">
        <v>233</v>
      </c>
      <c r="E103" s="119" t="s">
        <v>46</v>
      </c>
      <c r="F103" s="38" t="s">
        <v>1</v>
      </c>
      <c r="G103" s="120">
        <v>60900</v>
      </c>
      <c r="H103" s="121">
        <f t="shared" si="15"/>
        <v>6090</v>
      </c>
      <c r="I103" s="128"/>
      <c r="L103" s="123"/>
      <c r="N103" s="129"/>
      <c r="O103" s="129"/>
      <c r="P103" s="129"/>
      <c r="Q103" s="130"/>
      <c r="R103" s="131"/>
      <c r="S103" s="129"/>
      <c r="T103" s="132"/>
    </row>
    <row r="104" spans="1:20" s="117" customFormat="1" ht="15" customHeight="1">
      <c r="A104" s="358"/>
      <c r="B104" s="38" t="s">
        <v>82</v>
      </c>
      <c r="C104" s="125"/>
      <c r="D104" s="38">
        <v>233</v>
      </c>
      <c r="E104" s="119" t="s">
        <v>57</v>
      </c>
      <c r="F104" s="38" t="s">
        <v>1</v>
      </c>
      <c r="G104" s="120">
        <v>42000</v>
      </c>
      <c r="H104" s="121">
        <f t="shared" si="15"/>
        <v>8400</v>
      </c>
      <c r="L104" s="123"/>
      <c r="N104" s="129"/>
      <c r="O104" s="129"/>
      <c r="P104" s="129"/>
      <c r="Q104" s="130"/>
      <c r="R104" s="131"/>
      <c r="S104" s="129"/>
      <c r="T104" s="132"/>
    </row>
    <row r="105" spans="1:20" s="117" customFormat="1" ht="15" customHeight="1">
      <c r="A105" s="358"/>
      <c r="B105" s="125" t="s">
        <v>25</v>
      </c>
      <c r="C105" s="125"/>
      <c r="D105" s="38">
        <v>233</v>
      </c>
      <c r="E105" s="126"/>
      <c r="F105" s="127"/>
      <c r="G105" s="125"/>
      <c r="H105" s="133">
        <f>136716+149</f>
        <v>136865</v>
      </c>
      <c r="L105" s="123"/>
      <c r="N105" s="129"/>
      <c r="O105" s="129"/>
      <c r="P105" s="129"/>
      <c r="Q105" s="130"/>
      <c r="R105" s="131"/>
      <c r="S105" s="129"/>
      <c r="T105" s="132"/>
    </row>
    <row r="106" spans="1:20" s="117" customFormat="1" ht="22.2" customHeight="1">
      <c r="A106" s="359"/>
      <c r="B106" s="361"/>
      <c r="C106" s="362"/>
      <c r="D106" s="362"/>
      <c r="E106" s="362"/>
      <c r="F106" s="362"/>
      <c r="G106" s="363"/>
      <c r="H106" s="139">
        <f>SUM(H97:H105)</f>
        <v>3960999.9</v>
      </c>
      <c r="J106" s="117" t="s">
        <v>114</v>
      </c>
      <c r="K106" s="128">
        <v>68040</v>
      </c>
      <c r="L106" s="128">
        <f>0.1*K106</f>
        <v>6804</v>
      </c>
    </row>
    <row r="107" spans="1:20" s="117" customFormat="1" ht="15" customHeight="1">
      <c r="A107" s="349" t="s">
        <v>205</v>
      </c>
      <c r="B107" s="113" t="s">
        <v>22</v>
      </c>
      <c r="C107" s="140">
        <f>E107/D107</f>
        <v>0.11982758620689656</v>
      </c>
      <c r="D107" s="159">
        <v>232</v>
      </c>
      <c r="E107" s="187" t="s">
        <v>108</v>
      </c>
      <c r="F107" s="160" t="s">
        <v>1</v>
      </c>
      <c r="G107" s="141">
        <v>21525</v>
      </c>
      <c r="H107" s="161">
        <f>E107*G107</f>
        <v>598395</v>
      </c>
      <c r="I107" s="182">
        <f>H106-I98</f>
        <v>-0.10000000009313226</v>
      </c>
      <c r="J107" s="128"/>
    </row>
    <row r="108" spans="1:20" s="117" customFormat="1" ht="15" customHeight="1">
      <c r="A108" s="350"/>
      <c r="B108" s="162" t="s">
        <v>52</v>
      </c>
      <c r="C108" s="142">
        <f>E108/D108</f>
        <v>5.6034482758620691E-2</v>
      </c>
      <c r="D108" s="164">
        <v>232</v>
      </c>
      <c r="E108" s="188" t="s">
        <v>80</v>
      </c>
      <c r="F108" s="38" t="s">
        <v>1</v>
      </c>
      <c r="G108" s="165">
        <v>172800</v>
      </c>
      <c r="H108" s="121">
        <f t="shared" ref="H108:H113" si="16">E108*G108</f>
        <v>2246400</v>
      </c>
      <c r="I108" s="123">
        <f>232*17000</f>
        <v>3944000</v>
      </c>
      <c r="J108" s="124">
        <f>232*17000</f>
        <v>3944000</v>
      </c>
    </row>
    <row r="109" spans="1:20" s="117" customFormat="1" ht="15" customHeight="1">
      <c r="A109" s="350"/>
      <c r="B109" s="162" t="s">
        <v>53</v>
      </c>
      <c r="C109" s="142">
        <f t="shared" ref="C109:C111" si="17">E109/D109</f>
        <v>3.1896551724137932E-2</v>
      </c>
      <c r="D109" s="164">
        <v>232</v>
      </c>
      <c r="E109" s="188" t="s">
        <v>139</v>
      </c>
      <c r="F109" s="38" t="s">
        <v>1</v>
      </c>
      <c r="G109" s="165">
        <v>89250</v>
      </c>
      <c r="H109" s="121">
        <f t="shared" si="16"/>
        <v>660450</v>
      </c>
    </row>
    <row r="110" spans="1:20" s="117" customFormat="1" ht="15" customHeight="1">
      <c r="A110" s="350"/>
      <c r="B110" s="38" t="s">
        <v>153</v>
      </c>
      <c r="C110" s="142">
        <f t="shared" si="17"/>
        <v>4.3103448275862068E-3</v>
      </c>
      <c r="D110" s="164">
        <v>232</v>
      </c>
      <c r="E110" s="163">
        <v>1</v>
      </c>
      <c r="F110" s="38" t="s">
        <v>4</v>
      </c>
      <c r="G110" s="120">
        <v>137550</v>
      </c>
      <c r="H110" s="121">
        <f t="shared" si="16"/>
        <v>137550</v>
      </c>
      <c r="I110" s="135">
        <f>I108-H115</f>
        <v>0</v>
      </c>
    </row>
    <row r="111" spans="1:20" s="117" customFormat="1" ht="15" customHeight="1">
      <c r="A111" s="350"/>
      <c r="B111" s="38" t="s">
        <v>55</v>
      </c>
      <c r="C111" s="163">
        <f t="shared" si="17"/>
        <v>4.3103448275862074E-4</v>
      </c>
      <c r="D111" s="164">
        <v>232</v>
      </c>
      <c r="E111" s="163">
        <v>0.1</v>
      </c>
      <c r="F111" s="38" t="s">
        <v>4</v>
      </c>
      <c r="G111" s="120">
        <v>42000</v>
      </c>
      <c r="H111" s="121">
        <f t="shared" si="16"/>
        <v>4200</v>
      </c>
    </row>
    <row r="112" spans="1:20" s="117" customFormat="1" ht="15" customHeight="1">
      <c r="A112" s="351"/>
      <c r="B112" s="162" t="s">
        <v>154</v>
      </c>
      <c r="C112" s="163"/>
      <c r="D112" s="166"/>
      <c r="E112" s="185">
        <v>8.1999999999999993</v>
      </c>
      <c r="F112" s="38" t="s">
        <v>1</v>
      </c>
      <c r="G112" s="120">
        <v>18900</v>
      </c>
      <c r="H112" s="121">
        <f t="shared" si="16"/>
        <v>154980</v>
      </c>
    </row>
    <row r="113" spans="1:17" s="117" customFormat="1" ht="15" customHeight="1">
      <c r="A113" s="351"/>
      <c r="B113" s="38" t="s">
        <v>66</v>
      </c>
      <c r="C113" s="146"/>
      <c r="D113" s="38"/>
      <c r="E113" s="119" t="s">
        <v>46</v>
      </c>
      <c r="F113" s="38" t="s">
        <v>1</v>
      </c>
      <c r="G113" s="120">
        <v>60900</v>
      </c>
      <c r="H113" s="121">
        <f t="shared" si="16"/>
        <v>6090</v>
      </c>
    </row>
    <row r="114" spans="1:17" s="117" customFormat="1" ht="15" customHeight="1">
      <c r="A114" s="351"/>
      <c r="B114" s="167" t="s">
        <v>25</v>
      </c>
      <c r="C114" s="146"/>
      <c r="D114" s="168"/>
      <c r="E114" s="169"/>
      <c r="F114" s="164" t="s">
        <v>1</v>
      </c>
      <c r="G114" s="120"/>
      <c r="H114" s="133">
        <f>136716-781</f>
        <v>135935</v>
      </c>
    </row>
    <row r="115" spans="1:17" s="148" customFormat="1" ht="18.600000000000001" customHeight="1">
      <c r="A115" s="149"/>
      <c r="B115" s="150"/>
      <c r="C115" s="151"/>
      <c r="D115" s="151"/>
      <c r="E115" s="152"/>
      <c r="F115" s="153"/>
      <c r="G115" s="150"/>
      <c r="H115" s="154">
        <f>SUM(H107:H114)</f>
        <v>3944000</v>
      </c>
      <c r="I115" s="183">
        <f>I108-H115</f>
        <v>0</v>
      </c>
      <c r="L115" s="156"/>
      <c r="M115" s="157"/>
    </row>
    <row r="116" spans="1:17" s="232" customFormat="1" ht="15" customHeight="1">
      <c r="A116" s="241"/>
      <c r="B116" s="226" t="s">
        <v>22</v>
      </c>
      <c r="C116" s="227">
        <f>E116/D116</f>
        <v>0.12000000000000001</v>
      </c>
      <c r="D116" s="228">
        <v>230</v>
      </c>
      <c r="E116" s="229" t="s">
        <v>143</v>
      </c>
      <c r="F116" s="226" t="s">
        <v>1</v>
      </c>
      <c r="G116" s="141">
        <v>21525</v>
      </c>
      <c r="H116" s="230">
        <f>E116*G116</f>
        <v>594090</v>
      </c>
      <c r="K116" s="231"/>
      <c r="L116" s="231"/>
    </row>
    <row r="117" spans="1:17" s="232" customFormat="1" ht="15" customHeight="1">
      <c r="A117" s="360" t="s">
        <v>207</v>
      </c>
      <c r="B117" s="228" t="s">
        <v>159</v>
      </c>
      <c r="C117" s="227">
        <f>E117/D117</f>
        <v>4.4347826086956518E-2</v>
      </c>
      <c r="D117" s="228">
        <v>230</v>
      </c>
      <c r="E117" s="233">
        <v>10.199999999999999</v>
      </c>
      <c r="F117" s="228" t="s">
        <v>1</v>
      </c>
      <c r="G117" s="234">
        <v>215250</v>
      </c>
      <c r="H117" s="235">
        <f>E117*G117</f>
        <v>2195550</v>
      </c>
      <c r="K117" s="231"/>
      <c r="L117" s="231"/>
    </row>
    <row r="118" spans="1:17" s="232" customFormat="1" ht="15" customHeight="1">
      <c r="A118" s="360"/>
      <c r="B118" s="228" t="s">
        <v>87</v>
      </c>
      <c r="C118" s="227">
        <f t="shared" ref="C118" si="18">E118/D118</f>
        <v>1.7391304347826087E-2</v>
      </c>
      <c r="D118" s="228">
        <v>230</v>
      </c>
      <c r="E118" s="233">
        <v>4</v>
      </c>
      <c r="F118" s="228" t="s">
        <v>1</v>
      </c>
      <c r="G118" s="234">
        <v>123900</v>
      </c>
      <c r="H118" s="235">
        <f t="shared" ref="H118:H122" si="19">E118*G118</f>
        <v>495600</v>
      </c>
      <c r="I118" s="256">
        <f>231*17000</f>
        <v>3927000</v>
      </c>
      <c r="J118" s="231" t="e">
        <f>#REF!*15</f>
        <v>#REF!</v>
      </c>
      <c r="K118" s="231"/>
      <c r="L118" s="231"/>
    </row>
    <row r="119" spans="1:17" s="232" customFormat="1" ht="15" customHeight="1">
      <c r="A119" s="360"/>
      <c r="B119" s="228" t="s">
        <v>78</v>
      </c>
      <c r="C119" s="257"/>
      <c r="D119" s="228">
        <v>230</v>
      </c>
      <c r="E119" s="258" t="s">
        <v>48</v>
      </c>
      <c r="F119" s="228" t="s">
        <v>1</v>
      </c>
      <c r="G119" s="234">
        <v>78750</v>
      </c>
      <c r="H119" s="235">
        <f t="shared" si="19"/>
        <v>236250</v>
      </c>
      <c r="K119" s="231"/>
      <c r="L119" s="231"/>
    </row>
    <row r="120" spans="1:17" s="232" customFormat="1" ht="15" customHeight="1">
      <c r="A120" s="360"/>
      <c r="B120" s="228" t="s">
        <v>79</v>
      </c>
      <c r="C120" s="257"/>
      <c r="D120" s="228">
        <v>230</v>
      </c>
      <c r="E120" s="258" t="s">
        <v>208</v>
      </c>
      <c r="F120" s="228" t="s">
        <v>4</v>
      </c>
      <c r="G120" s="234">
        <v>20478</v>
      </c>
      <c r="H120" s="235">
        <f t="shared" si="19"/>
        <v>243688.2</v>
      </c>
      <c r="K120" s="231"/>
      <c r="L120" s="231"/>
    </row>
    <row r="121" spans="1:17" s="232" customFormat="1" ht="15" customHeight="1">
      <c r="A121" s="360"/>
      <c r="B121" s="38" t="s">
        <v>81</v>
      </c>
      <c r="C121" s="38"/>
      <c r="D121" s="228">
        <v>230</v>
      </c>
      <c r="E121" s="119" t="s">
        <v>46</v>
      </c>
      <c r="F121" s="38" t="s">
        <v>1</v>
      </c>
      <c r="G121" s="120">
        <v>63000</v>
      </c>
      <c r="H121" s="121">
        <f t="shared" si="19"/>
        <v>6300</v>
      </c>
      <c r="K121" s="231"/>
      <c r="L121" s="231"/>
    </row>
    <row r="122" spans="1:17" s="232" customFormat="1" ht="15" customHeight="1">
      <c r="A122" s="360"/>
      <c r="B122" s="228" t="s">
        <v>51</v>
      </c>
      <c r="C122" s="240"/>
      <c r="D122" s="228"/>
      <c r="E122" s="237">
        <v>0.1</v>
      </c>
      <c r="F122" s="228" t="s">
        <v>1</v>
      </c>
      <c r="G122" s="239">
        <v>42000</v>
      </c>
      <c r="H122" s="235">
        <f t="shared" si="19"/>
        <v>4200</v>
      </c>
      <c r="I122" s="263">
        <f>230*17000</f>
        <v>3910000</v>
      </c>
      <c r="K122" s="231"/>
      <c r="L122" s="231"/>
    </row>
    <row r="123" spans="1:17" s="232" customFormat="1" ht="15" customHeight="1">
      <c r="A123" s="360"/>
      <c r="B123" s="242" t="s">
        <v>25</v>
      </c>
      <c r="C123" s="243"/>
      <c r="D123" s="244"/>
      <c r="E123" s="245"/>
      <c r="F123" s="246"/>
      <c r="G123" s="239"/>
      <c r="H123" s="247">
        <f>136000-1678</f>
        <v>134322</v>
      </c>
      <c r="K123" s="231"/>
      <c r="L123" s="231"/>
    </row>
    <row r="124" spans="1:17" s="134" customFormat="1" ht="20.399999999999999" customHeight="1">
      <c r="A124" s="218"/>
      <c r="B124" s="281"/>
      <c r="C124" s="282"/>
      <c r="D124" s="282"/>
      <c r="E124" s="282"/>
      <c r="F124" s="282"/>
      <c r="G124" s="283"/>
      <c r="H124" s="221">
        <f>SUM(H116:H123)</f>
        <v>3910000.2</v>
      </c>
      <c r="I124" s="217">
        <f>H124-I122</f>
        <v>0.20000000018626451</v>
      </c>
      <c r="K124" s="217"/>
      <c r="L124" s="217"/>
    </row>
    <row r="125" spans="1:17" s="134" customFormat="1" ht="20.399999999999999" customHeight="1">
      <c r="A125" s="353" t="s">
        <v>209</v>
      </c>
      <c r="B125" s="111" t="s">
        <v>22</v>
      </c>
      <c r="C125" s="264">
        <f>E125/D125</f>
        <v>0.11991341991341992</v>
      </c>
      <c r="D125" s="213">
        <v>231</v>
      </c>
      <c r="E125" s="187" t="s">
        <v>121</v>
      </c>
      <c r="F125" s="265" t="s">
        <v>1</v>
      </c>
      <c r="G125" s="266">
        <v>21525</v>
      </c>
      <c r="H125" s="267">
        <f>E125*G125</f>
        <v>596242.5</v>
      </c>
      <c r="I125" s="217"/>
      <c r="K125" s="217"/>
      <c r="L125" s="217"/>
    </row>
    <row r="126" spans="1:17" s="134" customFormat="1" ht="20.399999999999999" customHeight="1">
      <c r="A126" s="354"/>
      <c r="B126" s="213" t="s">
        <v>6</v>
      </c>
      <c r="C126" s="268">
        <f t="shared" ref="C126:C128" si="20">E126/D126</f>
        <v>6.9696969696969702E-2</v>
      </c>
      <c r="D126" s="213">
        <v>231</v>
      </c>
      <c r="E126" s="269">
        <v>16.100000000000001</v>
      </c>
      <c r="F126" s="213" t="s">
        <v>1</v>
      </c>
      <c r="G126" s="270">
        <v>137550</v>
      </c>
      <c r="H126" s="271">
        <f>E126*G126-1892</f>
        <v>2212663</v>
      </c>
      <c r="I126" s="217"/>
      <c r="J126" s="134">
        <f>231-2</f>
        <v>229</v>
      </c>
      <c r="K126" s="217"/>
      <c r="L126" s="217"/>
    </row>
    <row r="127" spans="1:17" s="134" customFormat="1" ht="20.399999999999999" customHeight="1">
      <c r="A127" s="354"/>
      <c r="B127" s="213" t="s">
        <v>34</v>
      </c>
      <c r="C127" s="272">
        <f t="shared" si="20"/>
        <v>3.0303030303030303E-3</v>
      </c>
      <c r="D127" s="213">
        <v>231</v>
      </c>
      <c r="E127" s="273" t="s">
        <v>35</v>
      </c>
      <c r="F127" s="213" t="s">
        <v>1</v>
      </c>
      <c r="G127" s="270">
        <v>304500</v>
      </c>
      <c r="H127" s="271">
        <f>E127*G127</f>
        <v>213150</v>
      </c>
      <c r="I127" s="217"/>
      <c r="K127" s="217"/>
      <c r="L127" s="217"/>
    </row>
    <row r="128" spans="1:17" s="134" customFormat="1" ht="20.399999999999999" customHeight="1">
      <c r="A128" s="354"/>
      <c r="B128" s="213" t="s">
        <v>36</v>
      </c>
      <c r="C128" s="272">
        <f t="shared" si="20"/>
        <v>3.896103896103896E-2</v>
      </c>
      <c r="D128" s="213">
        <v>231</v>
      </c>
      <c r="E128" s="273" t="s">
        <v>145</v>
      </c>
      <c r="F128" s="213" t="s">
        <v>1</v>
      </c>
      <c r="G128" s="270">
        <v>67200</v>
      </c>
      <c r="H128" s="271">
        <f>E128*G128</f>
        <v>604800</v>
      </c>
      <c r="I128" s="217">
        <f>231*17000</f>
        <v>3927000</v>
      </c>
      <c r="K128" s="111" t="s">
        <v>22</v>
      </c>
      <c r="L128" s="264">
        <f>N128/M128</f>
        <v>0.11904761904761904</v>
      </c>
      <c r="M128" s="213">
        <v>231</v>
      </c>
      <c r="N128" s="187" t="s">
        <v>161</v>
      </c>
      <c r="O128" s="265" t="s">
        <v>1</v>
      </c>
      <c r="P128" s="266">
        <v>21525</v>
      </c>
      <c r="Q128" s="267">
        <f>N128*P128</f>
        <v>591937.5</v>
      </c>
    </row>
    <row r="129" spans="1:17" s="134" customFormat="1" ht="20.399999999999999" customHeight="1">
      <c r="A129" s="354"/>
      <c r="B129" s="162" t="s">
        <v>154</v>
      </c>
      <c r="C129" s="163"/>
      <c r="D129" s="166"/>
      <c r="E129" s="185">
        <v>8.1999999999999993</v>
      </c>
      <c r="F129" s="38" t="s">
        <v>1</v>
      </c>
      <c r="G129" s="120">
        <v>18900</v>
      </c>
      <c r="H129" s="121">
        <f t="shared" ref="H129:H131" si="21">E129*G129</f>
        <v>154980</v>
      </c>
      <c r="I129" s="217"/>
      <c r="K129" s="213" t="s">
        <v>6</v>
      </c>
      <c r="L129" s="268">
        <f t="shared" ref="L129:L132" si="22">N129/M129</f>
        <v>6.8398268398268403E-2</v>
      </c>
      <c r="M129" s="213">
        <v>231</v>
      </c>
      <c r="N129" s="269">
        <v>15.8</v>
      </c>
      <c r="O129" s="213" t="s">
        <v>1</v>
      </c>
      <c r="P129" s="270">
        <v>137550</v>
      </c>
      <c r="Q129" s="271">
        <f>N129*P129-1892</f>
        <v>2171398</v>
      </c>
    </row>
    <row r="130" spans="1:17" s="134" customFormat="1" ht="20.399999999999999" customHeight="1">
      <c r="A130" s="354"/>
      <c r="B130" s="213" t="s">
        <v>41</v>
      </c>
      <c r="C130" s="268"/>
      <c r="D130" s="213"/>
      <c r="E130" s="273" t="s">
        <v>46</v>
      </c>
      <c r="F130" s="213" t="s">
        <v>4</v>
      </c>
      <c r="G130" s="270">
        <v>42000</v>
      </c>
      <c r="H130" s="271">
        <f t="shared" si="21"/>
        <v>4200</v>
      </c>
      <c r="I130" s="217"/>
      <c r="K130" s="213" t="s">
        <v>34</v>
      </c>
      <c r="L130" s="272">
        <f t="shared" si="22"/>
        <v>3.3333333333333333E-2</v>
      </c>
      <c r="M130" s="213">
        <v>21</v>
      </c>
      <c r="N130" s="273" t="s">
        <v>35</v>
      </c>
      <c r="O130" s="213" t="s">
        <v>1</v>
      </c>
      <c r="P130" s="270">
        <v>304500</v>
      </c>
      <c r="Q130" s="271">
        <f>N130*P130</f>
        <v>213150</v>
      </c>
    </row>
    <row r="131" spans="1:17" s="134" customFormat="1" ht="20.399999999999999" customHeight="1">
      <c r="A131" s="354"/>
      <c r="B131" s="213" t="s">
        <v>12</v>
      </c>
      <c r="C131" s="216"/>
      <c r="D131" s="213"/>
      <c r="E131" s="274">
        <v>0.1</v>
      </c>
      <c r="F131" s="213" t="s">
        <v>1</v>
      </c>
      <c r="G131" s="270">
        <v>60900</v>
      </c>
      <c r="H131" s="271">
        <f t="shared" si="21"/>
        <v>6090</v>
      </c>
      <c r="I131" s="217">
        <f>H133-I128</f>
        <v>-0.5</v>
      </c>
      <c r="K131" s="213" t="s">
        <v>36</v>
      </c>
      <c r="L131" s="272">
        <f t="shared" si="22"/>
        <v>3.9301310043668124E-2</v>
      </c>
      <c r="M131" s="213">
        <v>229</v>
      </c>
      <c r="N131" s="273" t="s">
        <v>145</v>
      </c>
      <c r="O131" s="213" t="s">
        <v>1</v>
      </c>
      <c r="P131" s="270">
        <v>67200</v>
      </c>
      <c r="Q131" s="271">
        <f>N131*P131</f>
        <v>604800</v>
      </c>
    </row>
    <row r="132" spans="1:17" s="134" customFormat="1" ht="20.399999999999999" customHeight="1">
      <c r="A132" s="354"/>
      <c r="B132" s="275" t="s">
        <v>25</v>
      </c>
      <c r="C132" s="275"/>
      <c r="D132" s="275"/>
      <c r="E132" s="276"/>
      <c r="F132" s="277"/>
      <c r="G132" s="275"/>
      <c r="H132" s="278">
        <f>136716-1842</f>
        <v>134874</v>
      </c>
      <c r="I132" s="217"/>
      <c r="K132" s="213" t="s">
        <v>94</v>
      </c>
      <c r="L132" s="272">
        <f t="shared" si="22"/>
        <v>3.2314410480349345E-2</v>
      </c>
      <c r="M132" s="213">
        <v>229</v>
      </c>
      <c r="N132" s="273" t="s">
        <v>139</v>
      </c>
      <c r="O132" s="213" t="s">
        <v>1</v>
      </c>
      <c r="P132" s="270">
        <v>22050</v>
      </c>
      <c r="Q132" s="271">
        <f t="shared" ref="Q132" si="23">N132*P132</f>
        <v>163170</v>
      </c>
    </row>
    <row r="133" spans="1:17" s="134" customFormat="1" ht="20.399999999999999" customHeight="1">
      <c r="A133" s="218"/>
      <c r="B133" s="219"/>
      <c r="C133" s="220"/>
      <c r="D133" s="220"/>
      <c r="E133" s="220"/>
      <c r="F133" s="220"/>
      <c r="G133" s="220"/>
      <c r="H133" s="221">
        <f>SUM(H125:H132)</f>
        <v>3926999.5</v>
      </c>
      <c r="I133" s="217">
        <f>I128-H133</f>
        <v>0.5</v>
      </c>
      <c r="K133" s="275" t="s">
        <v>25</v>
      </c>
      <c r="L133" s="275"/>
      <c r="M133" s="275"/>
      <c r="N133" s="276"/>
      <c r="O133" s="277"/>
      <c r="P133" s="275"/>
      <c r="Q133" s="278">
        <f>136716+1538</f>
        <v>138254</v>
      </c>
    </row>
    <row r="134" spans="1:17" s="134" customFormat="1" ht="15" customHeight="1">
      <c r="A134" s="346" t="s">
        <v>210</v>
      </c>
      <c r="B134" s="111" t="s">
        <v>22</v>
      </c>
      <c r="C134" s="264">
        <f>E134/D134</f>
        <v>0.12069565217391305</v>
      </c>
      <c r="D134" s="213">
        <v>230</v>
      </c>
      <c r="E134" s="187" t="s">
        <v>211</v>
      </c>
      <c r="F134" s="265" t="s">
        <v>1</v>
      </c>
      <c r="G134" s="266">
        <v>21525</v>
      </c>
      <c r="H134" s="267">
        <f>E134*G134</f>
        <v>597534</v>
      </c>
      <c r="I134" s="284">
        <f>D134-1-2</f>
        <v>227</v>
      </c>
      <c r="J134" s="217"/>
    </row>
    <row r="135" spans="1:17" s="134" customFormat="1" ht="15" customHeight="1">
      <c r="A135" s="346"/>
      <c r="B135" s="265" t="s">
        <v>184</v>
      </c>
      <c r="C135" s="268">
        <f t="shared" ref="C135:C137" si="24">E135/D135</f>
        <v>7.9565217391304358E-2</v>
      </c>
      <c r="D135" s="213">
        <v>230</v>
      </c>
      <c r="E135" s="187" t="s">
        <v>212</v>
      </c>
      <c r="F135" s="213" t="s">
        <v>1</v>
      </c>
      <c r="G135" s="266">
        <v>128100</v>
      </c>
      <c r="H135" s="271">
        <f>G135*E135</f>
        <v>2344230</v>
      </c>
      <c r="I135" s="284"/>
      <c r="J135" s="217"/>
    </row>
    <row r="136" spans="1:17" s="134" customFormat="1" ht="15" customHeight="1">
      <c r="A136" s="346"/>
      <c r="B136" s="213" t="s">
        <v>6</v>
      </c>
      <c r="C136" s="268">
        <f t="shared" si="24"/>
        <v>4.3478260869565218E-3</v>
      </c>
      <c r="D136" s="213">
        <v>230</v>
      </c>
      <c r="E136" s="269">
        <v>1</v>
      </c>
      <c r="F136" s="213" t="s">
        <v>1</v>
      </c>
      <c r="G136" s="270">
        <v>137550</v>
      </c>
      <c r="H136" s="271">
        <f>E136*G136-1892</f>
        <v>135658</v>
      </c>
      <c r="J136" s="280">
        <f>230*17000</f>
        <v>3910000</v>
      </c>
    </row>
    <row r="137" spans="1:17" s="134" customFormat="1" ht="15" customHeight="1">
      <c r="A137" s="346"/>
      <c r="B137" s="213" t="s">
        <v>7</v>
      </c>
      <c r="C137" s="272">
        <f t="shared" si="24"/>
        <v>0.56956521739130439</v>
      </c>
      <c r="D137" s="213">
        <v>230</v>
      </c>
      <c r="E137" s="273" t="s">
        <v>185</v>
      </c>
      <c r="F137" s="213" t="s">
        <v>1</v>
      </c>
      <c r="G137" s="270">
        <v>3510</v>
      </c>
      <c r="H137" s="271">
        <f>E137*G137</f>
        <v>459810</v>
      </c>
    </row>
    <row r="138" spans="1:17" s="134" customFormat="1" ht="15" customHeight="1">
      <c r="A138" s="346"/>
      <c r="B138" s="213" t="s">
        <v>187</v>
      </c>
      <c r="C138" s="272"/>
      <c r="D138" s="213"/>
      <c r="E138" s="273" t="s">
        <v>189</v>
      </c>
      <c r="F138" s="213" t="s">
        <v>188</v>
      </c>
      <c r="G138" s="270">
        <v>37800</v>
      </c>
      <c r="H138" s="271">
        <f>E138*G138</f>
        <v>75600</v>
      </c>
    </row>
    <row r="139" spans="1:17" s="134" customFormat="1" ht="15" customHeight="1">
      <c r="A139" s="279"/>
      <c r="B139" s="213" t="s">
        <v>197</v>
      </c>
      <c r="C139" s="272"/>
      <c r="D139" s="213"/>
      <c r="E139" s="273" t="s">
        <v>26</v>
      </c>
      <c r="F139" s="213" t="s">
        <v>4</v>
      </c>
      <c r="G139" s="270">
        <v>44280</v>
      </c>
      <c r="H139" s="271">
        <f>E139*G139</f>
        <v>44280</v>
      </c>
    </row>
    <row r="140" spans="1:17" s="134" customFormat="1" ht="15" customHeight="1">
      <c r="A140" s="279"/>
      <c r="B140" s="213" t="s">
        <v>198</v>
      </c>
      <c r="C140" s="272"/>
      <c r="D140" s="213"/>
      <c r="E140" s="273" t="s">
        <v>201</v>
      </c>
      <c r="F140" s="213" t="s">
        <v>1</v>
      </c>
      <c r="G140" s="270">
        <v>21000</v>
      </c>
      <c r="H140" s="271">
        <f t="shared" ref="H140:H142" si="25">E140*G140</f>
        <v>107099.99999999999</v>
      </c>
    </row>
    <row r="141" spans="1:17" s="134" customFormat="1" ht="15" customHeight="1">
      <c r="A141" s="279"/>
      <c r="B141" s="213" t="s">
        <v>41</v>
      </c>
      <c r="C141" s="268"/>
      <c r="D141" s="213"/>
      <c r="E141" s="273" t="s">
        <v>46</v>
      </c>
      <c r="F141" s="213" t="s">
        <v>4</v>
      </c>
      <c r="G141" s="270">
        <v>42000</v>
      </c>
      <c r="H141" s="271">
        <f t="shared" si="25"/>
        <v>4200</v>
      </c>
    </row>
    <row r="142" spans="1:17" s="134" customFormat="1" ht="15" customHeight="1">
      <c r="A142" s="279"/>
      <c r="B142" s="213" t="s">
        <v>12</v>
      </c>
      <c r="C142" s="216"/>
      <c r="D142" s="213"/>
      <c r="E142" s="274">
        <v>0.1</v>
      </c>
      <c r="F142" s="213" t="s">
        <v>1</v>
      </c>
      <c r="G142" s="270">
        <v>60900</v>
      </c>
      <c r="H142" s="271">
        <f t="shared" si="25"/>
        <v>6090</v>
      </c>
    </row>
    <row r="143" spans="1:17" s="134" customFormat="1" ht="15" customHeight="1">
      <c r="A143" s="279"/>
      <c r="B143" s="275" t="s">
        <v>25</v>
      </c>
      <c r="C143" s="275"/>
      <c r="D143" s="275"/>
      <c r="E143" s="276"/>
      <c r="F143" s="277"/>
      <c r="G143" s="275"/>
      <c r="H143" s="278">
        <f>136716-1218</f>
        <v>135498</v>
      </c>
    </row>
    <row r="144" spans="1:17" s="155" customFormat="1" ht="19.8" customHeight="1">
      <c r="A144" s="222"/>
      <c r="B144" s="175"/>
      <c r="C144" s="175"/>
      <c r="D144" s="175"/>
      <c r="E144" s="223"/>
      <c r="F144" s="224"/>
      <c r="G144" s="175"/>
      <c r="H144" s="225">
        <f>SUM(H134:H143)</f>
        <v>3910000</v>
      </c>
      <c r="I144" s="183">
        <f>H144-J136</f>
        <v>0</v>
      </c>
      <c r="J144" s="183">
        <f>H144-J136</f>
        <v>0</v>
      </c>
      <c r="M144" s="134"/>
    </row>
    <row r="145" spans="1:8">
      <c r="A145" s="107"/>
      <c r="B145" s="107"/>
      <c r="C145" s="107"/>
      <c r="D145" s="107"/>
      <c r="E145" s="108"/>
    </row>
    <row r="146" spans="1:8" ht="18">
      <c r="A146" s="347" t="s">
        <v>28</v>
      </c>
      <c r="B146" s="347"/>
      <c r="C146" s="347" t="s">
        <v>29</v>
      </c>
      <c r="D146" s="347"/>
      <c r="E146" s="347"/>
      <c r="F146" s="1"/>
      <c r="G146" s="347" t="s">
        <v>30</v>
      </c>
      <c r="H146" s="347"/>
    </row>
    <row r="147" spans="1:8" ht="18">
      <c r="A147" s="33"/>
      <c r="B147" s="33"/>
      <c r="C147" s="33"/>
      <c r="D147" s="33"/>
      <c r="E147" s="33"/>
      <c r="F147" s="1"/>
      <c r="G147" s="33"/>
      <c r="H147" s="33"/>
    </row>
    <row r="148" spans="1:8" ht="18">
      <c r="A148" s="33"/>
      <c r="B148" s="33"/>
      <c r="C148" s="33"/>
      <c r="D148" s="33"/>
      <c r="E148" s="33"/>
      <c r="F148" s="1"/>
      <c r="G148" s="33"/>
      <c r="H148" s="33"/>
    </row>
    <row r="149" spans="1:8" ht="18">
      <c r="A149" s="33"/>
      <c r="B149" s="33"/>
      <c r="C149" s="33"/>
      <c r="D149" s="33"/>
      <c r="E149" s="33"/>
      <c r="F149" s="1"/>
      <c r="G149" s="33"/>
      <c r="H149" s="33"/>
    </row>
    <row r="150" spans="1:8" ht="18">
      <c r="A150" s="33"/>
      <c r="B150" s="33"/>
      <c r="C150" s="33"/>
      <c r="D150" s="33"/>
      <c r="E150" s="33"/>
      <c r="F150" s="1"/>
      <c r="G150" s="33"/>
      <c r="H150" s="33"/>
    </row>
    <row r="151" spans="1:8" ht="18">
      <c r="A151" s="33"/>
      <c r="B151" s="33"/>
      <c r="C151" s="33"/>
      <c r="D151" s="33"/>
      <c r="E151" s="33"/>
      <c r="F151" s="1"/>
      <c r="G151" s="33"/>
      <c r="H151" s="33"/>
    </row>
    <row r="152" spans="1:8" ht="18">
      <c r="A152" s="33"/>
      <c r="B152" s="33"/>
      <c r="C152" s="33"/>
      <c r="D152" s="33"/>
      <c r="E152" s="33"/>
      <c r="F152" s="1"/>
      <c r="G152" s="33"/>
      <c r="H152" s="33"/>
    </row>
    <row r="153" spans="1:8" ht="18">
      <c r="A153" s="33"/>
      <c r="B153" s="33"/>
      <c r="C153" s="33"/>
      <c r="D153" s="33"/>
      <c r="E153" s="33"/>
      <c r="F153" s="1"/>
      <c r="G153" s="33"/>
      <c r="H153" s="33"/>
    </row>
    <row r="154" spans="1:8" ht="18">
      <c r="A154" s="33"/>
      <c r="B154" s="33"/>
      <c r="C154" s="33"/>
      <c r="D154" s="33"/>
      <c r="E154" s="33"/>
      <c r="F154" s="1"/>
      <c r="G154" s="33"/>
      <c r="H154" s="33"/>
    </row>
    <row r="155" spans="1:8" ht="18">
      <c r="A155" s="33"/>
      <c r="B155" s="33"/>
      <c r="C155" s="33"/>
      <c r="D155" s="33"/>
      <c r="E155" s="33"/>
      <c r="F155" s="1"/>
      <c r="G155" s="33"/>
      <c r="H155" s="33"/>
    </row>
    <row r="156" spans="1:8" ht="18">
      <c r="A156" s="33"/>
      <c r="B156" s="33"/>
      <c r="C156" s="33"/>
      <c r="D156" s="33"/>
      <c r="E156" s="33"/>
      <c r="F156" s="1"/>
      <c r="G156" s="33"/>
      <c r="H156" s="33"/>
    </row>
    <row r="157" spans="1:8" ht="18">
      <c r="A157" s="33"/>
      <c r="B157" s="33"/>
      <c r="C157" s="33"/>
      <c r="D157" s="33"/>
      <c r="E157" s="33"/>
      <c r="F157" s="1"/>
      <c r="G157" s="33"/>
      <c r="H157" s="33"/>
    </row>
    <row r="158" spans="1:8" ht="18">
      <c r="A158" s="33"/>
      <c r="B158" s="33"/>
      <c r="C158" s="33"/>
      <c r="D158" s="33"/>
      <c r="E158" s="33"/>
      <c r="F158" s="1"/>
      <c r="G158" s="33"/>
      <c r="H158" s="33"/>
    </row>
    <row r="159" spans="1:8" ht="18">
      <c r="A159" s="33"/>
      <c r="B159" s="33"/>
      <c r="C159" s="33"/>
      <c r="D159" s="33"/>
      <c r="E159" s="33"/>
      <c r="F159" s="1"/>
      <c r="G159" s="33"/>
      <c r="H159" s="33"/>
    </row>
    <row r="160" spans="1:8" ht="18">
      <c r="A160" s="33"/>
      <c r="B160" s="33"/>
      <c r="C160" s="33"/>
      <c r="D160" s="33"/>
      <c r="E160" s="33"/>
      <c r="F160" s="1"/>
      <c r="G160" s="33"/>
      <c r="H160" s="33"/>
    </row>
    <row r="161" spans="1:8" ht="18">
      <c r="A161" s="33"/>
      <c r="B161" s="33"/>
      <c r="C161" s="33"/>
      <c r="D161" s="33"/>
      <c r="E161" s="33"/>
      <c r="F161" s="1"/>
      <c r="G161" s="33"/>
      <c r="H161" s="33"/>
    </row>
    <row r="162" spans="1:8" ht="18">
      <c r="A162" s="33"/>
      <c r="B162" s="33"/>
      <c r="C162" s="33"/>
      <c r="D162" s="33"/>
      <c r="E162" s="33"/>
      <c r="F162" s="1"/>
      <c r="G162" s="33"/>
      <c r="H162" s="33"/>
    </row>
    <row r="163" spans="1:8" ht="18">
      <c r="A163" s="33"/>
      <c r="B163" s="33"/>
      <c r="C163" s="33"/>
      <c r="D163" s="33"/>
      <c r="E163" s="33"/>
      <c r="F163" s="1"/>
      <c r="G163" s="33"/>
      <c r="H163" s="33"/>
    </row>
    <row r="164" spans="1:8" ht="18">
      <c r="A164" s="33"/>
      <c r="B164" s="33"/>
      <c r="C164" s="33"/>
      <c r="D164" s="33"/>
      <c r="E164" s="33"/>
      <c r="F164" s="1"/>
      <c r="G164" s="33"/>
      <c r="H164" s="33"/>
    </row>
    <row r="165" spans="1:8" ht="18">
      <c r="A165" s="33"/>
      <c r="B165" s="33"/>
      <c r="C165" s="33"/>
      <c r="D165" s="33"/>
      <c r="E165" s="33"/>
      <c r="F165" s="1"/>
      <c r="G165" s="33"/>
      <c r="H165" s="33"/>
    </row>
    <row r="166" spans="1:8" ht="18">
      <c r="A166" s="33"/>
      <c r="B166" s="33"/>
      <c r="C166" s="33"/>
      <c r="D166" s="33"/>
      <c r="E166" s="33"/>
      <c r="F166" s="1"/>
      <c r="G166" s="33"/>
      <c r="H166" s="33"/>
    </row>
    <row r="167" spans="1:8" ht="18">
      <c r="A167" s="33"/>
      <c r="B167" s="33"/>
      <c r="C167" s="33"/>
      <c r="D167" s="33"/>
      <c r="E167" s="33"/>
      <c r="F167" s="1"/>
      <c r="G167" s="33"/>
      <c r="H167" s="33"/>
    </row>
    <row r="168" spans="1:8" ht="18">
      <c r="A168" s="33"/>
      <c r="B168" s="33"/>
      <c r="C168" s="33"/>
      <c r="D168" s="33"/>
      <c r="E168" s="33"/>
      <c r="F168" s="1"/>
      <c r="G168" s="33"/>
      <c r="H168" s="33"/>
    </row>
    <row r="169" spans="1:8" ht="18">
      <c r="A169" s="33"/>
      <c r="B169" s="33"/>
      <c r="C169" s="33"/>
      <c r="D169" s="33"/>
      <c r="E169" s="33"/>
      <c r="F169" s="1"/>
      <c r="G169" s="33"/>
      <c r="H169" s="33"/>
    </row>
    <row r="170" spans="1:8" ht="18">
      <c r="A170" s="33"/>
      <c r="B170" s="33"/>
      <c r="C170" s="33"/>
      <c r="D170" s="33"/>
      <c r="E170" s="33"/>
      <c r="F170" s="1"/>
      <c r="G170" s="33"/>
      <c r="H170" s="33"/>
    </row>
    <row r="171" spans="1:8" ht="18">
      <c r="A171" s="33"/>
      <c r="B171" s="33"/>
      <c r="C171" s="33"/>
      <c r="D171" s="33"/>
      <c r="E171" s="33"/>
      <c r="F171" s="1"/>
      <c r="G171" s="33"/>
      <c r="H171" s="33"/>
    </row>
    <row r="172" spans="1:8" ht="18">
      <c r="A172" s="33"/>
      <c r="B172" s="33"/>
      <c r="C172" s="33"/>
      <c r="D172" s="33"/>
      <c r="E172" s="33"/>
      <c r="F172" s="1"/>
      <c r="G172" s="33"/>
      <c r="H172" s="33"/>
    </row>
    <row r="173" spans="1:8" ht="18">
      <c r="A173" s="33"/>
      <c r="B173" s="33"/>
      <c r="C173" s="33"/>
      <c r="D173" s="33"/>
      <c r="E173" s="33"/>
      <c r="F173" s="1"/>
      <c r="G173" s="33"/>
      <c r="H173" s="33"/>
    </row>
    <row r="174" spans="1:8" ht="18">
      <c r="A174" s="33"/>
      <c r="B174" s="33"/>
      <c r="C174" s="33"/>
      <c r="D174" s="33"/>
      <c r="E174" s="33"/>
      <c r="F174" s="1"/>
      <c r="G174" s="33"/>
      <c r="H174" s="33"/>
    </row>
    <row r="175" spans="1:8" ht="18">
      <c r="A175" s="33"/>
      <c r="B175" s="33"/>
      <c r="C175" s="33"/>
      <c r="D175" s="33"/>
      <c r="E175" s="33"/>
      <c r="F175" s="1"/>
      <c r="G175" s="33"/>
      <c r="H175" s="33"/>
    </row>
    <row r="176" spans="1:8" ht="18">
      <c r="A176" s="33"/>
      <c r="B176" s="33"/>
      <c r="C176" s="33"/>
      <c r="D176" s="33"/>
      <c r="E176" s="33"/>
      <c r="F176" s="1"/>
      <c r="G176" s="33"/>
      <c r="H176" s="33"/>
    </row>
    <row r="177" spans="1:20" ht="18">
      <c r="A177" s="33"/>
      <c r="B177" s="33"/>
      <c r="C177" s="33"/>
      <c r="D177" s="33"/>
      <c r="E177" s="33"/>
      <c r="F177" s="1"/>
      <c r="G177" s="33"/>
      <c r="H177" s="33"/>
    </row>
    <row r="178" spans="1:20" ht="18">
      <c r="A178" s="33"/>
      <c r="B178" s="33"/>
      <c r="C178" s="33"/>
      <c r="D178" s="33"/>
      <c r="E178" s="33"/>
      <c r="F178" s="1"/>
      <c r="G178" s="33"/>
      <c r="H178" s="33"/>
    </row>
    <row r="179" spans="1:20" ht="18">
      <c r="A179" s="33"/>
      <c r="B179" s="33"/>
      <c r="C179" s="33"/>
      <c r="D179" s="33"/>
      <c r="E179" s="33"/>
      <c r="F179" s="1"/>
      <c r="G179" s="33"/>
      <c r="H179" s="33"/>
    </row>
    <row r="180" spans="1:20" ht="18">
      <c r="A180" s="33"/>
      <c r="B180" s="33"/>
      <c r="C180" s="33"/>
      <c r="D180" s="33"/>
      <c r="E180" s="33"/>
      <c r="F180" s="1"/>
      <c r="G180" s="33"/>
      <c r="H180" s="33"/>
    </row>
    <row r="181" spans="1:20" ht="18">
      <c r="A181" s="33"/>
      <c r="B181" s="33"/>
      <c r="C181" s="33"/>
      <c r="D181" s="33"/>
      <c r="E181" s="33"/>
      <c r="F181" s="1"/>
      <c r="G181" s="33"/>
      <c r="H181" s="33"/>
    </row>
    <row r="182" spans="1:20" ht="15.6">
      <c r="A182" s="6" t="s">
        <v>0</v>
      </c>
      <c r="B182" s="6"/>
    </row>
    <row r="183" spans="1:20" s="110" customFormat="1" ht="16.8" customHeight="1">
      <c r="A183" s="347" t="s">
        <v>176</v>
      </c>
      <c r="B183" s="347"/>
      <c r="C183" s="347"/>
      <c r="D183" s="347"/>
      <c r="E183" s="347"/>
      <c r="F183" s="347"/>
      <c r="G183" s="347"/>
      <c r="H183" s="347"/>
      <c r="I183" s="181">
        <f>1996200/15</f>
        <v>133080</v>
      </c>
    </row>
    <row r="184" spans="1:20" s="110" customFormat="1" ht="16.8" customHeight="1">
      <c r="A184" s="109"/>
      <c r="B184" s="348" t="s">
        <v>193</v>
      </c>
      <c r="C184" s="348"/>
      <c r="D184" s="348"/>
      <c r="E184" s="348"/>
      <c r="F184" s="348"/>
      <c r="G184" s="348"/>
      <c r="H184" s="348"/>
    </row>
    <row r="185" spans="1:20" ht="15" customHeight="1">
      <c r="A185" s="7" t="s">
        <v>15</v>
      </c>
      <c r="B185" s="8" t="s">
        <v>16</v>
      </c>
      <c r="C185" s="9" t="s">
        <v>17</v>
      </c>
      <c r="D185" s="10" t="s">
        <v>18</v>
      </c>
      <c r="E185" s="45" t="s">
        <v>19</v>
      </c>
      <c r="F185" s="11" t="s">
        <v>5</v>
      </c>
      <c r="G185" s="7" t="s">
        <v>20</v>
      </c>
      <c r="H185" s="7" t="s">
        <v>21</v>
      </c>
      <c r="K185">
        <f>225*17000</f>
        <v>3825000</v>
      </c>
      <c r="L185" t="s">
        <v>33</v>
      </c>
      <c r="N185" s="12" t="s">
        <v>22</v>
      </c>
      <c r="O185" s="92">
        <f>Q185/P185</f>
        <v>0.11931330472103005</v>
      </c>
      <c r="P185" s="17">
        <v>233</v>
      </c>
      <c r="Q185" s="53" t="s">
        <v>108</v>
      </c>
      <c r="R185" s="12" t="s">
        <v>1</v>
      </c>
      <c r="S185" s="13">
        <v>21525</v>
      </c>
      <c r="T185" s="14">
        <f>Q185*S185</f>
        <v>598395</v>
      </c>
    </row>
    <row r="186" spans="1:20" s="117" customFormat="1" ht="15" customHeight="1">
      <c r="A186" s="356" t="s">
        <v>191</v>
      </c>
      <c r="B186" s="113" t="s">
        <v>22</v>
      </c>
      <c r="C186" s="140">
        <f>E186/D186</f>
        <v>0.11991341991341992</v>
      </c>
      <c r="D186" s="38">
        <v>231</v>
      </c>
      <c r="E186" s="186" t="s">
        <v>121</v>
      </c>
      <c r="F186" s="113" t="s">
        <v>1</v>
      </c>
      <c r="G186" s="141">
        <v>21525</v>
      </c>
      <c r="H186" s="115">
        <f>E186*G186</f>
        <v>596242.5</v>
      </c>
      <c r="I186" s="116"/>
      <c r="N186" s="38" t="s">
        <v>6</v>
      </c>
      <c r="O186" s="118">
        <f>Q186/P186</f>
        <v>6.5236051502145925E-2</v>
      </c>
      <c r="P186" s="38">
        <v>233</v>
      </c>
      <c r="Q186" s="119" t="s">
        <v>124</v>
      </c>
      <c r="R186" s="38" t="s">
        <v>1</v>
      </c>
      <c r="S186" s="120">
        <v>136500</v>
      </c>
      <c r="T186" s="121">
        <f>Q186*S186</f>
        <v>2074800</v>
      </c>
    </row>
    <row r="187" spans="1:20" s="117" customFormat="1" ht="15" customHeight="1">
      <c r="A187" s="357"/>
      <c r="B187" s="38" t="s">
        <v>87</v>
      </c>
      <c r="C187" s="142">
        <f t="shared" ref="C187:C188" si="26">E187/D187</f>
        <v>7.3593073593073599E-2</v>
      </c>
      <c r="D187" s="38">
        <v>231</v>
      </c>
      <c r="E187" s="143">
        <v>17</v>
      </c>
      <c r="F187" s="38" t="s">
        <v>1</v>
      </c>
      <c r="G187" s="120">
        <v>130200</v>
      </c>
      <c r="H187" s="121">
        <f>E187*G187-1892</f>
        <v>2211508</v>
      </c>
      <c r="I187" s="124">
        <f>227*17000</f>
        <v>3859000</v>
      </c>
      <c r="N187" s="38" t="s">
        <v>34</v>
      </c>
      <c r="O187" s="118">
        <f t="shared" ref="O187:O188" si="27">Q187/P187</f>
        <v>3.004291845493562E-3</v>
      </c>
      <c r="P187" s="38">
        <v>233</v>
      </c>
      <c r="Q187" s="119" t="s">
        <v>35</v>
      </c>
      <c r="R187" s="38" t="s">
        <v>1</v>
      </c>
      <c r="S187" s="120">
        <v>306600</v>
      </c>
      <c r="T187" s="121">
        <f>Q187*S187</f>
        <v>214620</v>
      </c>
    </row>
    <row r="188" spans="1:20" s="117" customFormat="1" ht="15" customHeight="1">
      <c r="A188" s="358"/>
      <c r="B188" s="38" t="s">
        <v>36</v>
      </c>
      <c r="C188" s="144">
        <f t="shared" si="26"/>
        <v>3.0735930735930735E-2</v>
      </c>
      <c r="D188" s="38">
        <v>231</v>
      </c>
      <c r="E188" s="119" t="s">
        <v>126</v>
      </c>
      <c r="F188" s="38" t="s">
        <v>1</v>
      </c>
      <c r="G188" s="120">
        <v>67200</v>
      </c>
      <c r="H188" s="121">
        <f>E188*G188</f>
        <v>477120</v>
      </c>
      <c r="I188" s="128">
        <f>I187-H195</f>
        <v>-68000</v>
      </c>
      <c r="J188" s="117" t="s">
        <v>71</v>
      </c>
      <c r="K188" s="117">
        <v>22050</v>
      </c>
      <c r="L188" s="123">
        <f>K188*5</f>
        <v>110250</v>
      </c>
      <c r="M188" s="117" t="s">
        <v>88</v>
      </c>
      <c r="N188" s="38" t="s">
        <v>36</v>
      </c>
      <c r="O188" s="118">
        <f t="shared" si="27"/>
        <v>3.733905579399141E-2</v>
      </c>
      <c r="P188" s="38">
        <v>233</v>
      </c>
      <c r="Q188" s="119" t="s">
        <v>112</v>
      </c>
      <c r="R188" s="38" t="s">
        <v>1</v>
      </c>
      <c r="S188" s="120">
        <v>67200</v>
      </c>
      <c r="T188" s="121">
        <f>Q188*S188</f>
        <v>584640</v>
      </c>
    </row>
    <row r="189" spans="1:20" s="117" customFormat="1" ht="15" customHeight="1">
      <c r="A189" s="358"/>
      <c r="B189" s="38" t="s">
        <v>78</v>
      </c>
      <c r="C189" s="144"/>
      <c r="D189" s="38">
        <v>231</v>
      </c>
      <c r="E189" s="119" t="s">
        <v>48</v>
      </c>
      <c r="F189" s="38" t="s">
        <v>1</v>
      </c>
      <c r="G189" s="120">
        <v>78750</v>
      </c>
      <c r="H189" s="121">
        <f t="shared" ref="H189:H193" si="28">E189*G189</f>
        <v>236250</v>
      </c>
      <c r="J189" s="117" t="s">
        <v>39</v>
      </c>
      <c r="K189" s="117" t="s">
        <v>40</v>
      </c>
      <c r="L189" s="123">
        <f>136500*1</f>
        <v>136500</v>
      </c>
      <c r="N189" s="38" t="s">
        <v>72</v>
      </c>
      <c r="O189" s="38"/>
      <c r="P189" s="38">
        <v>233</v>
      </c>
      <c r="Q189" s="119"/>
      <c r="R189" s="38" t="s">
        <v>27</v>
      </c>
      <c r="S189" s="120">
        <v>1450</v>
      </c>
      <c r="T189" s="121">
        <f>184800+136500</f>
        <v>321300</v>
      </c>
    </row>
    <row r="190" spans="1:20" s="117" customFormat="1" ht="15" customHeight="1">
      <c r="A190" s="358"/>
      <c r="B190" s="38" t="s">
        <v>79</v>
      </c>
      <c r="C190" s="144"/>
      <c r="D190" s="38">
        <v>231</v>
      </c>
      <c r="E190" s="119" t="s">
        <v>182</v>
      </c>
      <c r="F190" s="38" t="s">
        <v>4</v>
      </c>
      <c r="G190" s="120">
        <v>20478</v>
      </c>
      <c r="H190" s="121">
        <f t="shared" si="28"/>
        <v>247783.8</v>
      </c>
      <c r="I190" s="124">
        <f>229*17000</f>
        <v>3893000</v>
      </c>
      <c r="J190" s="117" t="s">
        <v>66</v>
      </c>
      <c r="K190" s="117">
        <v>60900</v>
      </c>
      <c r="L190" s="123">
        <f>K190*0.1</f>
        <v>6090</v>
      </c>
      <c r="N190" s="125" t="s">
        <v>25</v>
      </c>
      <c r="O190" s="125"/>
      <c r="P190" s="125"/>
      <c r="Q190" s="126"/>
      <c r="R190" s="127"/>
      <c r="S190" s="125"/>
      <c r="T190" s="121">
        <v>136716</v>
      </c>
    </row>
    <row r="191" spans="1:20" s="117" customFormat="1" ht="15" customHeight="1">
      <c r="A191" s="358"/>
      <c r="B191" s="38" t="s">
        <v>81</v>
      </c>
      <c r="C191" s="38"/>
      <c r="D191" s="38">
        <v>231</v>
      </c>
      <c r="E191" s="119" t="s">
        <v>46</v>
      </c>
      <c r="F191" s="38" t="s">
        <v>1</v>
      </c>
      <c r="G191" s="120">
        <v>63000</v>
      </c>
      <c r="H191" s="121">
        <f t="shared" si="28"/>
        <v>6300</v>
      </c>
      <c r="I191" s="128">
        <f>H195-I190</f>
        <v>34000</v>
      </c>
      <c r="L191" s="123"/>
      <c r="N191" s="129"/>
      <c r="O191" s="129"/>
      <c r="P191" s="129"/>
      <c r="Q191" s="130"/>
      <c r="R191" s="131"/>
      <c r="S191" s="129"/>
      <c r="T191" s="132"/>
    </row>
    <row r="192" spans="1:20" s="117" customFormat="1" ht="15" customHeight="1">
      <c r="A192" s="358"/>
      <c r="B192" s="38" t="s">
        <v>66</v>
      </c>
      <c r="C192" s="146"/>
      <c r="D192" s="38">
        <v>231</v>
      </c>
      <c r="E192" s="119" t="s">
        <v>46</v>
      </c>
      <c r="F192" s="38" t="s">
        <v>1</v>
      </c>
      <c r="G192" s="120">
        <v>60900</v>
      </c>
      <c r="H192" s="121">
        <f t="shared" si="28"/>
        <v>6090</v>
      </c>
      <c r="I192" s="128"/>
      <c r="L192" s="123"/>
      <c r="N192" s="129"/>
      <c r="O192" s="129"/>
      <c r="P192" s="129"/>
      <c r="Q192" s="130"/>
      <c r="R192" s="131"/>
      <c r="S192" s="129"/>
      <c r="T192" s="132"/>
    </row>
    <row r="193" spans="1:20" s="117" customFormat="1" ht="15" customHeight="1">
      <c r="A193" s="358"/>
      <c r="B193" s="38" t="s">
        <v>82</v>
      </c>
      <c r="C193" s="125"/>
      <c r="D193" s="38">
        <v>231</v>
      </c>
      <c r="E193" s="119" t="s">
        <v>57</v>
      </c>
      <c r="F193" s="38" t="s">
        <v>1</v>
      </c>
      <c r="G193" s="120">
        <v>42000</v>
      </c>
      <c r="H193" s="121">
        <f t="shared" si="28"/>
        <v>8400</v>
      </c>
      <c r="L193" s="123"/>
      <c r="N193" s="129"/>
      <c r="O193" s="129"/>
      <c r="P193" s="129"/>
      <c r="Q193" s="130"/>
      <c r="R193" s="131"/>
      <c r="S193" s="129"/>
      <c r="T193" s="132"/>
    </row>
    <row r="194" spans="1:20" s="117" customFormat="1" ht="15" customHeight="1">
      <c r="A194" s="358"/>
      <c r="B194" s="125" t="s">
        <v>25</v>
      </c>
      <c r="C194" s="125"/>
      <c r="D194" s="38">
        <v>231</v>
      </c>
      <c r="E194" s="126"/>
      <c r="F194" s="127"/>
      <c r="G194" s="125"/>
      <c r="H194" s="133">
        <f>136716+558.7+31</f>
        <v>137305.70000000001</v>
      </c>
      <c r="L194" s="123"/>
      <c r="N194" s="129"/>
      <c r="O194" s="129"/>
      <c r="P194" s="129"/>
      <c r="Q194" s="130"/>
      <c r="R194" s="131"/>
      <c r="S194" s="129"/>
      <c r="T194" s="132"/>
    </row>
    <row r="195" spans="1:20" s="117" customFormat="1" ht="22.2" customHeight="1">
      <c r="A195" s="359"/>
      <c r="B195" s="361"/>
      <c r="C195" s="362"/>
      <c r="D195" s="362"/>
      <c r="E195" s="362"/>
      <c r="F195" s="362"/>
      <c r="G195" s="363"/>
      <c r="H195" s="139">
        <f>SUM(H186:H194)</f>
        <v>3927000</v>
      </c>
      <c r="J195" s="117" t="s">
        <v>114</v>
      </c>
      <c r="K195" s="128">
        <v>68040</v>
      </c>
      <c r="L195" s="128">
        <f>0.1*K195</f>
        <v>6804</v>
      </c>
    </row>
    <row r="196" spans="1:20" s="117" customFormat="1" ht="15" customHeight="1">
      <c r="A196" s="349" t="s">
        <v>192</v>
      </c>
      <c r="B196" s="226" t="s">
        <v>22</v>
      </c>
      <c r="C196" s="227">
        <f>E196/D196</f>
        <v>0.12000000000000001</v>
      </c>
      <c r="D196" s="228">
        <v>230</v>
      </c>
      <c r="E196" s="229" t="s">
        <v>143</v>
      </c>
      <c r="F196" s="226" t="s">
        <v>1</v>
      </c>
      <c r="G196" s="141">
        <v>21525</v>
      </c>
      <c r="H196" s="230">
        <f>E196*G196</f>
        <v>594090</v>
      </c>
      <c r="I196" s="182">
        <f>H195-I187</f>
        <v>68000</v>
      </c>
      <c r="J196" s="128"/>
    </row>
    <row r="197" spans="1:20" s="117" customFormat="1" ht="15" customHeight="1">
      <c r="A197" s="350"/>
      <c r="B197" s="228" t="s">
        <v>159</v>
      </c>
      <c r="C197" s="227">
        <f>E197/D197</f>
        <v>3.9130434782608699E-2</v>
      </c>
      <c r="D197" s="228">
        <v>230</v>
      </c>
      <c r="E197" s="233">
        <v>9</v>
      </c>
      <c r="F197" s="228" t="s">
        <v>1</v>
      </c>
      <c r="G197" s="234">
        <v>215250</v>
      </c>
      <c r="H197" s="235">
        <f>E197*G197</f>
        <v>1937250</v>
      </c>
      <c r="I197" s="123">
        <f>230*17000</f>
        <v>3910000</v>
      </c>
      <c r="J197" s="124">
        <f>232*17000</f>
        <v>3944000</v>
      </c>
    </row>
    <row r="198" spans="1:20" s="117" customFormat="1" ht="15" customHeight="1">
      <c r="A198" s="350"/>
      <c r="B198" s="228" t="s">
        <v>87</v>
      </c>
      <c r="C198" s="227">
        <f t="shared" ref="C198:C201" si="29">E198/D198</f>
        <v>1.7391304347826087E-2</v>
      </c>
      <c r="D198" s="228">
        <v>230</v>
      </c>
      <c r="E198" s="233">
        <v>4</v>
      </c>
      <c r="F198" s="228" t="s">
        <v>1</v>
      </c>
      <c r="G198" s="234">
        <v>123900</v>
      </c>
      <c r="H198" s="235">
        <f t="shared" ref="H198:H200" si="30">E198*G198</f>
        <v>495600</v>
      </c>
    </row>
    <row r="199" spans="1:20" s="117" customFormat="1" ht="15" customHeight="1">
      <c r="A199" s="350"/>
      <c r="B199" s="228" t="s">
        <v>6</v>
      </c>
      <c r="C199" s="227">
        <f t="shared" si="29"/>
        <v>4.3478260869565218E-3</v>
      </c>
      <c r="D199" s="228">
        <v>230</v>
      </c>
      <c r="E199" s="236">
        <v>1</v>
      </c>
      <c r="F199" s="228" t="s">
        <v>1</v>
      </c>
      <c r="G199" s="234">
        <v>137550</v>
      </c>
      <c r="H199" s="235">
        <f t="shared" si="30"/>
        <v>137550</v>
      </c>
      <c r="I199" s="135">
        <f>I197-H206</f>
        <v>0</v>
      </c>
    </row>
    <row r="200" spans="1:20" s="117" customFormat="1" ht="15" customHeight="1">
      <c r="A200" s="350"/>
      <c r="B200" s="228" t="s">
        <v>9</v>
      </c>
      <c r="C200" s="227">
        <f t="shared" si="29"/>
        <v>4.3478260869565218E-3</v>
      </c>
      <c r="D200" s="228">
        <v>230</v>
      </c>
      <c r="E200" s="237">
        <v>1</v>
      </c>
      <c r="F200" s="228" t="s">
        <v>1</v>
      </c>
      <c r="G200" s="234">
        <v>44280</v>
      </c>
      <c r="H200" s="235">
        <f t="shared" si="30"/>
        <v>44280</v>
      </c>
    </row>
    <row r="201" spans="1:20" s="117" customFormat="1" ht="15" customHeight="1">
      <c r="A201" s="351"/>
      <c r="B201" s="228" t="s">
        <v>31</v>
      </c>
      <c r="C201" s="227">
        <f t="shared" si="29"/>
        <v>4.1304347826086954E-2</v>
      </c>
      <c r="D201" s="228">
        <v>230</v>
      </c>
      <c r="E201" s="237">
        <v>9.5</v>
      </c>
      <c r="F201" s="228" t="s">
        <v>1</v>
      </c>
      <c r="G201" s="234">
        <v>42000</v>
      </c>
      <c r="H201" s="235">
        <f>E201*G201</f>
        <v>399000</v>
      </c>
    </row>
    <row r="202" spans="1:20" s="117" customFormat="1" ht="15" customHeight="1">
      <c r="A202" s="351"/>
      <c r="B202" s="228" t="s">
        <v>120</v>
      </c>
      <c r="C202" s="238"/>
      <c r="D202" s="228"/>
      <c r="E202" s="237">
        <v>7.4</v>
      </c>
      <c r="F202" s="228" t="s">
        <v>1</v>
      </c>
      <c r="G202" s="239">
        <v>21000</v>
      </c>
      <c r="H202" s="235">
        <f t="shared" ref="H202:H204" si="31">E202*G202</f>
        <v>155400</v>
      </c>
    </row>
    <row r="203" spans="1:20" s="117" customFormat="1" ht="15" customHeight="1">
      <c r="A203" s="351"/>
      <c r="B203" s="228" t="s">
        <v>12</v>
      </c>
      <c r="C203" s="240"/>
      <c r="D203" s="228"/>
      <c r="E203" s="237">
        <v>0.1</v>
      </c>
      <c r="F203" s="228" t="s">
        <v>1</v>
      </c>
      <c r="G203" s="234">
        <v>60900</v>
      </c>
      <c r="H203" s="235">
        <f t="shared" si="31"/>
        <v>6090</v>
      </c>
    </row>
    <row r="204" spans="1:20" s="117" customFormat="1" ht="15" customHeight="1">
      <c r="A204" s="351"/>
      <c r="B204" s="228" t="s">
        <v>51</v>
      </c>
      <c r="C204" s="240"/>
      <c r="D204" s="228"/>
      <c r="E204" s="237">
        <v>0.1</v>
      </c>
      <c r="F204" s="228" t="s">
        <v>1</v>
      </c>
      <c r="G204" s="239">
        <v>42000</v>
      </c>
      <c r="H204" s="235">
        <f t="shared" si="31"/>
        <v>4200</v>
      </c>
    </row>
    <row r="205" spans="1:20" s="148" customFormat="1" ht="15" customHeight="1">
      <c r="A205" s="351"/>
      <c r="B205" s="242" t="s">
        <v>25</v>
      </c>
      <c r="C205" s="243"/>
      <c r="D205" s="244"/>
      <c r="E205" s="245"/>
      <c r="F205" s="246"/>
      <c r="G205" s="239"/>
      <c r="H205" s="247">
        <f>136000+540</f>
        <v>136540</v>
      </c>
      <c r="I205" s="147">
        <f>H206-I190</f>
        <v>17000</v>
      </c>
      <c r="M205" s="117"/>
    </row>
    <row r="206" spans="1:20" s="148" customFormat="1" ht="18.600000000000001" customHeight="1">
      <c r="A206" s="149"/>
      <c r="B206" s="150"/>
      <c r="C206" s="151"/>
      <c r="D206" s="151"/>
      <c r="E206" s="152"/>
      <c r="F206" s="153"/>
      <c r="G206" s="150"/>
      <c r="H206" s="154">
        <f>SUM(H196:H205)</f>
        <v>3910000</v>
      </c>
      <c r="I206" s="183">
        <f>I197-H206</f>
        <v>0</v>
      </c>
      <c r="L206" s="156"/>
      <c r="M206" s="157"/>
    </row>
    <row r="207" spans="1:20" s="117" customFormat="1" ht="15" customHeight="1">
      <c r="A207" s="122"/>
      <c r="B207" s="113" t="s">
        <v>22</v>
      </c>
      <c r="C207" s="140">
        <f>E207/D207</f>
        <v>0.11991341991341992</v>
      </c>
      <c r="D207" s="159">
        <v>231</v>
      </c>
      <c r="E207" s="187" t="s">
        <v>121</v>
      </c>
      <c r="F207" s="160" t="s">
        <v>1</v>
      </c>
      <c r="G207" s="141">
        <v>21525</v>
      </c>
      <c r="H207" s="161">
        <f>E207*G207</f>
        <v>596242.5</v>
      </c>
      <c r="K207" s="128"/>
      <c r="L207" s="128"/>
    </row>
    <row r="208" spans="1:20" s="117" customFormat="1" ht="15" customHeight="1">
      <c r="A208" s="350" t="s">
        <v>194</v>
      </c>
      <c r="B208" s="162" t="s">
        <v>52</v>
      </c>
      <c r="C208" s="142">
        <f>E208/D208</f>
        <v>5.627705627705628E-2</v>
      </c>
      <c r="D208" s="164">
        <v>231</v>
      </c>
      <c r="E208" s="188" t="s">
        <v>80</v>
      </c>
      <c r="F208" s="38" t="s">
        <v>1</v>
      </c>
      <c r="G208" s="165">
        <v>172800</v>
      </c>
      <c r="H208" s="121">
        <f t="shared" ref="H208:H213" si="32">E208*G208</f>
        <v>2246400</v>
      </c>
      <c r="K208" s="128"/>
      <c r="L208" s="128"/>
    </row>
    <row r="209" spans="1:12" s="117" customFormat="1" ht="15" customHeight="1">
      <c r="A209" s="350"/>
      <c r="B209" s="162" t="s">
        <v>53</v>
      </c>
      <c r="C209" s="142">
        <f t="shared" ref="C209:C211" si="33">E209/D209</f>
        <v>3.1601731601731603E-2</v>
      </c>
      <c r="D209" s="164">
        <v>231</v>
      </c>
      <c r="E209" s="188" t="s">
        <v>152</v>
      </c>
      <c r="F209" s="38" t="s">
        <v>1</v>
      </c>
      <c r="G209" s="165">
        <v>89250</v>
      </c>
      <c r="H209" s="121">
        <f t="shared" si="32"/>
        <v>651525</v>
      </c>
      <c r="I209" s="124">
        <f>231*17000</f>
        <v>3927000</v>
      </c>
      <c r="J209" s="128" t="e">
        <f>#REF!*15</f>
        <v>#REF!</v>
      </c>
      <c r="K209" s="128"/>
      <c r="L209" s="128"/>
    </row>
    <row r="210" spans="1:12" s="117" customFormat="1" ht="15" customHeight="1">
      <c r="A210" s="350"/>
      <c r="B210" s="38" t="s">
        <v>153</v>
      </c>
      <c r="C210" s="142">
        <f t="shared" si="33"/>
        <v>4.329004329004329E-3</v>
      </c>
      <c r="D210" s="164">
        <v>231</v>
      </c>
      <c r="E210" s="163">
        <v>1</v>
      </c>
      <c r="F210" s="38" t="s">
        <v>4</v>
      </c>
      <c r="G210" s="120">
        <v>137550</v>
      </c>
      <c r="H210" s="121">
        <f t="shared" si="32"/>
        <v>137550</v>
      </c>
      <c r="K210" s="128"/>
      <c r="L210" s="128"/>
    </row>
    <row r="211" spans="1:12" s="117" customFormat="1" ht="15" customHeight="1">
      <c r="A211" s="350"/>
      <c r="B211" s="38" t="s">
        <v>55</v>
      </c>
      <c r="C211" s="163">
        <f t="shared" si="33"/>
        <v>4.329004329004329E-4</v>
      </c>
      <c r="D211" s="164">
        <v>231</v>
      </c>
      <c r="E211" s="163">
        <v>0.1</v>
      </c>
      <c r="F211" s="38" t="s">
        <v>4</v>
      </c>
      <c r="G211" s="120">
        <v>42000</v>
      </c>
      <c r="H211" s="121">
        <f t="shared" si="32"/>
        <v>4200</v>
      </c>
      <c r="K211" s="128"/>
      <c r="L211" s="128"/>
    </row>
    <row r="212" spans="1:12" s="117" customFormat="1" ht="15" customHeight="1">
      <c r="A212" s="350"/>
      <c r="B212" s="162" t="s">
        <v>154</v>
      </c>
      <c r="C212" s="163"/>
      <c r="D212" s="166"/>
      <c r="E212" s="185">
        <v>7.8</v>
      </c>
      <c r="F212" s="38" t="s">
        <v>1</v>
      </c>
      <c r="G212" s="120">
        <v>18900</v>
      </c>
      <c r="H212" s="121">
        <f t="shared" si="32"/>
        <v>147420</v>
      </c>
      <c r="I212" s="117">
        <f>231*17000</f>
        <v>3927000</v>
      </c>
      <c r="K212" s="128"/>
      <c r="L212" s="128"/>
    </row>
    <row r="213" spans="1:12" s="117" customFormat="1" ht="15" customHeight="1">
      <c r="A213" s="350"/>
      <c r="B213" s="38" t="s">
        <v>66</v>
      </c>
      <c r="C213" s="146"/>
      <c r="D213" s="38"/>
      <c r="E213" s="119" t="s">
        <v>46</v>
      </c>
      <c r="F213" s="38" t="s">
        <v>1</v>
      </c>
      <c r="G213" s="120">
        <v>60900</v>
      </c>
      <c r="H213" s="121">
        <f t="shared" si="32"/>
        <v>6090</v>
      </c>
      <c r="K213" s="128"/>
      <c r="L213" s="128"/>
    </row>
    <row r="214" spans="1:12" s="117" customFormat="1" ht="15" customHeight="1">
      <c r="A214" s="351"/>
      <c r="B214" s="167" t="s">
        <v>25</v>
      </c>
      <c r="C214" s="146"/>
      <c r="D214" s="168"/>
      <c r="E214" s="169"/>
      <c r="F214" s="164" t="s">
        <v>1</v>
      </c>
      <c r="G214" s="120"/>
      <c r="H214" s="133">
        <f>136716+486+370</f>
        <v>137572</v>
      </c>
      <c r="I214" s="134" t="s">
        <v>138</v>
      </c>
      <c r="K214" s="128"/>
      <c r="L214" s="128"/>
    </row>
    <row r="215" spans="1:12" s="117" customFormat="1" ht="20.399999999999999" customHeight="1">
      <c r="A215" s="170"/>
      <c r="B215" s="136"/>
      <c r="C215" s="137"/>
      <c r="D215" s="137"/>
      <c r="E215" s="137"/>
      <c r="F215" s="137"/>
      <c r="G215" s="138"/>
      <c r="H215" s="139">
        <f>SUM(H207:H214)</f>
        <v>3926999.5</v>
      </c>
      <c r="I215" s="128">
        <f>H215-I209</f>
        <v>-0.5</v>
      </c>
      <c r="K215" s="128"/>
      <c r="L215" s="128"/>
    </row>
    <row r="216" spans="1:12" s="134" customFormat="1" ht="20.399999999999999" customHeight="1">
      <c r="A216" s="353" t="s">
        <v>195</v>
      </c>
      <c r="B216" s="111" t="s">
        <v>22</v>
      </c>
      <c r="C216" s="264">
        <f>E216/D216</f>
        <v>0.12008733624454149</v>
      </c>
      <c r="D216" s="213">
        <v>229</v>
      </c>
      <c r="E216" s="187" t="s">
        <v>161</v>
      </c>
      <c r="F216" s="265" t="s">
        <v>1</v>
      </c>
      <c r="G216" s="266">
        <v>21525</v>
      </c>
      <c r="H216" s="267">
        <f>E216*G216</f>
        <v>591937.5</v>
      </c>
      <c r="I216" s="217"/>
      <c r="K216" s="217"/>
      <c r="L216" s="217"/>
    </row>
    <row r="217" spans="1:12" s="134" customFormat="1" ht="20.399999999999999" customHeight="1">
      <c r="A217" s="354"/>
      <c r="B217" s="213" t="s">
        <v>6</v>
      </c>
      <c r="C217" s="268">
        <f t="shared" ref="C217:C220" si="34">E217/D217</f>
        <v>6.8995633187772923E-2</v>
      </c>
      <c r="D217" s="213">
        <v>229</v>
      </c>
      <c r="E217" s="269">
        <v>15.8</v>
      </c>
      <c r="F217" s="213" t="s">
        <v>1</v>
      </c>
      <c r="G217" s="270">
        <v>137550</v>
      </c>
      <c r="H217" s="271">
        <f>E217*G217-1892</f>
        <v>2171398</v>
      </c>
      <c r="I217" s="217"/>
      <c r="J217" s="134">
        <f>231-2</f>
        <v>229</v>
      </c>
      <c r="K217" s="217"/>
      <c r="L217" s="217"/>
    </row>
    <row r="218" spans="1:12" s="134" customFormat="1" ht="20.399999999999999" customHeight="1">
      <c r="A218" s="354"/>
      <c r="B218" s="213" t="s">
        <v>34</v>
      </c>
      <c r="C218" s="272">
        <f t="shared" si="34"/>
        <v>3.0567685589519651E-3</v>
      </c>
      <c r="D218" s="213">
        <v>229</v>
      </c>
      <c r="E218" s="273" t="s">
        <v>35</v>
      </c>
      <c r="F218" s="213" t="s">
        <v>1</v>
      </c>
      <c r="G218" s="270">
        <v>304500</v>
      </c>
      <c r="H218" s="271">
        <f>E218*G218</f>
        <v>213150</v>
      </c>
      <c r="I218" s="217"/>
      <c r="K218" s="217"/>
      <c r="L218" s="217"/>
    </row>
    <row r="219" spans="1:12" s="134" customFormat="1" ht="20.399999999999999" customHeight="1">
      <c r="A219" s="354"/>
      <c r="B219" s="213" t="s">
        <v>36</v>
      </c>
      <c r="C219" s="272">
        <f t="shared" si="34"/>
        <v>3.9301310043668124E-2</v>
      </c>
      <c r="D219" s="213">
        <v>229</v>
      </c>
      <c r="E219" s="273" t="s">
        <v>145</v>
      </c>
      <c r="F219" s="213" t="s">
        <v>1</v>
      </c>
      <c r="G219" s="270">
        <v>67200</v>
      </c>
      <c r="H219" s="271">
        <f>E219*G219</f>
        <v>604800</v>
      </c>
      <c r="I219" s="217">
        <f>229*17000</f>
        <v>3893000</v>
      </c>
      <c r="K219" s="217"/>
      <c r="L219" s="217"/>
    </row>
    <row r="220" spans="1:12" s="134" customFormat="1" ht="20.399999999999999" customHeight="1">
      <c r="A220" s="354"/>
      <c r="B220" s="213" t="s">
        <v>94</v>
      </c>
      <c r="C220" s="272">
        <f t="shared" si="34"/>
        <v>3.2314410480349345E-2</v>
      </c>
      <c r="D220" s="213">
        <v>229</v>
      </c>
      <c r="E220" s="273" t="s">
        <v>139</v>
      </c>
      <c r="F220" s="213" t="s">
        <v>1</v>
      </c>
      <c r="G220" s="270">
        <v>22050</v>
      </c>
      <c r="H220" s="271">
        <f t="shared" ref="H220:H222" si="35">E220*G220</f>
        <v>163170</v>
      </c>
      <c r="I220" s="217"/>
      <c r="K220" s="217"/>
      <c r="L220" s="217"/>
    </row>
    <row r="221" spans="1:12" s="134" customFormat="1" ht="20.399999999999999" customHeight="1">
      <c r="A221" s="354"/>
      <c r="B221" s="213" t="s">
        <v>41</v>
      </c>
      <c r="C221" s="268"/>
      <c r="D221" s="213">
        <v>229</v>
      </c>
      <c r="E221" s="273" t="s">
        <v>46</v>
      </c>
      <c r="F221" s="213" t="s">
        <v>4</v>
      </c>
      <c r="G221" s="270">
        <v>42000</v>
      </c>
      <c r="H221" s="271">
        <f t="shared" si="35"/>
        <v>4200</v>
      </c>
      <c r="I221" s="217"/>
      <c r="K221" s="217"/>
      <c r="L221" s="217"/>
    </row>
    <row r="222" spans="1:12" s="134" customFormat="1" ht="20.399999999999999" customHeight="1">
      <c r="A222" s="354"/>
      <c r="B222" s="213" t="s">
        <v>12</v>
      </c>
      <c r="C222" s="216"/>
      <c r="D222" s="213"/>
      <c r="E222" s="274">
        <v>0.1</v>
      </c>
      <c r="F222" s="213" t="s">
        <v>1</v>
      </c>
      <c r="G222" s="270">
        <v>60900</v>
      </c>
      <c r="H222" s="271">
        <f t="shared" si="35"/>
        <v>6090</v>
      </c>
      <c r="I222" s="217">
        <f>H224-I219</f>
        <v>-0.5</v>
      </c>
      <c r="K222" s="217"/>
      <c r="L222" s="217"/>
    </row>
    <row r="223" spans="1:12" s="134" customFormat="1" ht="20.399999999999999" customHeight="1">
      <c r="A223" s="354"/>
      <c r="B223" s="275" t="s">
        <v>25</v>
      </c>
      <c r="C223" s="275"/>
      <c r="D223" s="275"/>
      <c r="E223" s="276"/>
      <c r="F223" s="277"/>
      <c r="G223" s="275"/>
      <c r="H223" s="278">
        <f>136716+1538</f>
        <v>138254</v>
      </c>
      <c r="I223" s="217"/>
      <c r="K223" s="217"/>
      <c r="L223" s="217"/>
    </row>
    <row r="224" spans="1:12" s="134" customFormat="1" ht="20.399999999999999" customHeight="1">
      <c r="A224" s="218"/>
      <c r="B224" s="219"/>
      <c r="C224" s="220"/>
      <c r="D224" s="220"/>
      <c r="E224" s="220"/>
      <c r="F224" s="220"/>
      <c r="G224" s="220"/>
      <c r="H224" s="221">
        <f>SUM(H216:H223)</f>
        <v>3892999.5</v>
      </c>
      <c r="I224" s="217">
        <f>I219-H224</f>
        <v>0.5</v>
      </c>
      <c r="K224" s="217"/>
      <c r="L224" s="217"/>
    </row>
    <row r="225" spans="1:13" s="232" customFormat="1" ht="15" customHeight="1">
      <c r="A225" s="360" t="s">
        <v>196</v>
      </c>
      <c r="B225" s="250" t="s">
        <v>22</v>
      </c>
      <c r="C225" s="251">
        <f>E225/D225</f>
        <v>0.1198237885462555</v>
      </c>
      <c r="D225" s="228">
        <v>227</v>
      </c>
      <c r="E225" s="252" t="s">
        <v>65</v>
      </c>
      <c r="F225" s="253" t="s">
        <v>1</v>
      </c>
      <c r="G225" s="209">
        <v>21525</v>
      </c>
      <c r="H225" s="254">
        <f>E225*G225</f>
        <v>585480</v>
      </c>
      <c r="I225" s="255">
        <f>D225-1-2</f>
        <v>224</v>
      </c>
      <c r="J225" s="231"/>
    </row>
    <row r="226" spans="1:13" s="232" customFormat="1" ht="15" customHeight="1">
      <c r="A226" s="360"/>
      <c r="B226" s="253" t="s">
        <v>184</v>
      </c>
      <c r="C226" s="238">
        <f t="shared" ref="C226:C228" si="36">E226/D226</f>
        <v>7.7973568281938327E-2</v>
      </c>
      <c r="D226" s="228">
        <v>227</v>
      </c>
      <c r="E226" s="252" t="s">
        <v>199</v>
      </c>
      <c r="F226" s="228" t="s">
        <v>1</v>
      </c>
      <c r="G226" s="209">
        <v>128100</v>
      </c>
      <c r="H226" s="235">
        <f>G226*E226</f>
        <v>2267370</v>
      </c>
      <c r="I226" s="255"/>
      <c r="J226" s="231"/>
    </row>
    <row r="227" spans="1:13" s="232" customFormat="1" ht="15" customHeight="1">
      <c r="A227" s="360"/>
      <c r="B227" s="228" t="s">
        <v>6</v>
      </c>
      <c r="C227" s="238">
        <f t="shared" si="36"/>
        <v>4.4052863436123352E-3</v>
      </c>
      <c r="D227" s="228">
        <v>227</v>
      </c>
      <c r="E227" s="233">
        <v>1</v>
      </c>
      <c r="F227" s="228" t="s">
        <v>1</v>
      </c>
      <c r="G227" s="234">
        <v>137550</v>
      </c>
      <c r="H227" s="235">
        <f>E227*G227-1892</f>
        <v>135658</v>
      </c>
      <c r="J227" s="256">
        <f>227*17000</f>
        <v>3859000</v>
      </c>
    </row>
    <row r="228" spans="1:13" s="232" customFormat="1" ht="15" customHeight="1">
      <c r="A228" s="360"/>
      <c r="B228" s="228" t="s">
        <v>7</v>
      </c>
      <c r="C228" s="257">
        <f t="shared" si="36"/>
        <v>0.56828193832599116</v>
      </c>
      <c r="D228" s="228">
        <v>227</v>
      </c>
      <c r="E228" s="258" t="s">
        <v>200</v>
      </c>
      <c r="F228" s="228" t="s">
        <v>1</v>
      </c>
      <c r="G228" s="234">
        <v>3510</v>
      </c>
      <c r="H228" s="235">
        <f>E228*G228</f>
        <v>452790</v>
      </c>
    </row>
    <row r="229" spans="1:13" s="232" customFormat="1" ht="15" customHeight="1">
      <c r="A229" s="360"/>
      <c r="B229" s="228" t="s">
        <v>187</v>
      </c>
      <c r="C229" s="257"/>
      <c r="D229" s="228"/>
      <c r="E229" s="258" t="s">
        <v>189</v>
      </c>
      <c r="F229" s="228" t="s">
        <v>188</v>
      </c>
      <c r="G229" s="234">
        <v>37800</v>
      </c>
      <c r="H229" s="235">
        <f>E229*G229</f>
        <v>75600</v>
      </c>
    </row>
    <row r="230" spans="1:13" s="232" customFormat="1" ht="15" customHeight="1">
      <c r="A230" s="360"/>
      <c r="B230" s="228" t="s">
        <v>197</v>
      </c>
      <c r="C230" s="257"/>
      <c r="D230" s="228"/>
      <c r="E230" s="258" t="s">
        <v>189</v>
      </c>
      <c r="F230" s="228" t="s">
        <v>4</v>
      </c>
      <c r="G230" s="234">
        <v>44280</v>
      </c>
      <c r="H230" s="235">
        <f>E230*G230</f>
        <v>88560</v>
      </c>
    </row>
    <row r="231" spans="1:13" s="232" customFormat="1" ht="15" customHeight="1">
      <c r="A231" s="360"/>
      <c r="B231" s="228" t="s">
        <v>198</v>
      </c>
      <c r="C231" s="257"/>
      <c r="D231" s="228"/>
      <c r="E231" s="258" t="s">
        <v>201</v>
      </c>
      <c r="F231" s="228" t="s">
        <v>1</v>
      </c>
      <c r="G231" s="234">
        <v>21000</v>
      </c>
      <c r="H231" s="235">
        <f t="shared" ref="H231:H233" si="37">E231*G231</f>
        <v>107099.99999999999</v>
      </c>
      <c r="J231" s="256"/>
    </row>
    <row r="232" spans="1:13" s="232" customFormat="1" ht="15" customHeight="1">
      <c r="A232" s="360"/>
      <c r="B232" s="228" t="s">
        <v>41</v>
      </c>
      <c r="C232" s="238"/>
      <c r="D232" s="228"/>
      <c r="E232" s="258" t="s">
        <v>46</v>
      </c>
      <c r="F232" s="228" t="s">
        <v>4</v>
      </c>
      <c r="G232" s="234">
        <v>42000</v>
      </c>
      <c r="H232" s="235">
        <f t="shared" si="37"/>
        <v>4200</v>
      </c>
    </row>
    <row r="233" spans="1:13" s="232" customFormat="1" ht="15" customHeight="1">
      <c r="A233" s="249"/>
      <c r="B233" s="228" t="s">
        <v>12</v>
      </c>
      <c r="C233" s="240"/>
      <c r="D233" s="228"/>
      <c r="E233" s="237">
        <v>0.1</v>
      </c>
      <c r="F233" s="228" t="s">
        <v>1</v>
      </c>
      <c r="G233" s="234">
        <v>60900</v>
      </c>
      <c r="H233" s="235">
        <f t="shared" si="37"/>
        <v>6090</v>
      </c>
    </row>
    <row r="234" spans="1:13" s="232" customFormat="1" ht="15" customHeight="1">
      <c r="A234" s="248"/>
      <c r="B234" s="259" t="s">
        <v>25</v>
      </c>
      <c r="C234" s="259"/>
      <c r="D234" s="259"/>
      <c r="E234" s="260"/>
      <c r="F234" s="261"/>
      <c r="G234" s="259"/>
      <c r="H234" s="247">
        <f>136716-564</f>
        <v>136152</v>
      </c>
      <c r="I234" s="232" t="s">
        <v>138</v>
      </c>
      <c r="J234" s="232" t="s">
        <v>67</v>
      </c>
      <c r="K234" s="232">
        <v>42000</v>
      </c>
      <c r="L234" s="262">
        <f>K234*0.1</f>
        <v>4200</v>
      </c>
      <c r="M234" s="263">
        <f>246750-136500</f>
        <v>110250</v>
      </c>
    </row>
    <row r="235" spans="1:13" s="155" customFormat="1" ht="19.8" customHeight="1">
      <c r="A235" s="222"/>
      <c r="B235" s="175"/>
      <c r="C235" s="175"/>
      <c r="D235" s="175"/>
      <c r="E235" s="223"/>
      <c r="F235" s="224"/>
      <c r="G235" s="175"/>
      <c r="H235" s="225">
        <f>SUM(H225:H234)</f>
        <v>3859000</v>
      </c>
      <c r="I235" s="183">
        <f>H235-J227</f>
        <v>0</v>
      </c>
      <c r="J235" s="183">
        <f>H235-J227</f>
        <v>0</v>
      </c>
      <c r="M235" s="134"/>
    </row>
    <row r="236" spans="1:13">
      <c r="A236" s="107"/>
      <c r="B236" s="107"/>
      <c r="C236" s="107"/>
      <c r="D236" s="107"/>
      <c r="E236" s="108"/>
    </row>
    <row r="237" spans="1:13" ht="18">
      <c r="A237" s="347" t="s">
        <v>28</v>
      </c>
      <c r="B237" s="347"/>
      <c r="C237" s="347" t="s">
        <v>29</v>
      </c>
      <c r="D237" s="347"/>
      <c r="E237" s="347"/>
      <c r="F237" s="1"/>
      <c r="G237" s="347" t="s">
        <v>30</v>
      </c>
      <c r="H237" s="347"/>
    </row>
    <row r="238" spans="1:13" ht="18">
      <c r="A238" s="33"/>
      <c r="B238" s="33"/>
      <c r="C238" s="33"/>
      <c r="D238" s="33"/>
      <c r="E238" s="33"/>
      <c r="F238" s="1"/>
      <c r="G238" s="33"/>
      <c r="H238" s="33"/>
    </row>
    <row r="239" spans="1:13" ht="18">
      <c r="A239" s="33"/>
      <c r="B239" s="33"/>
      <c r="C239" s="33"/>
      <c r="D239" s="33"/>
      <c r="E239" s="33"/>
      <c r="F239" s="1"/>
      <c r="G239" s="33"/>
      <c r="H239" s="33"/>
    </row>
    <row r="240" spans="1:13" ht="18">
      <c r="A240" s="33"/>
      <c r="B240" s="33"/>
      <c r="C240" s="33"/>
      <c r="D240" s="33"/>
      <c r="E240" s="33"/>
      <c r="F240" s="1"/>
      <c r="G240" s="33"/>
      <c r="H240" s="33"/>
    </row>
    <row r="282" spans="1:20" ht="15.6">
      <c r="A282" s="6" t="s">
        <v>0</v>
      </c>
      <c r="B282" s="6"/>
    </row>
    <row r="283" spans="1:20" s="110" customFormat="1" ht="16.8" customHeight="1">
      <c r="A283" s="347" t="s">
        <v>176</v>
      </c>
      <c r="B283" s="347"/>
      <c r="C283" s="347"/>
      <c r="D283" s="347"/>
      <c r="E283" s="347"/>
      <c r="F283" s="347"/>
      <c r="G283" s="347"/>
      <c r="H283" s="347"/>
      <c r="I283" s="181">
        <f>1996200/15</f>
        <v>133080</v>
      </c>
    </row>
    <row r="284" spans="1:20" s="110" customFormat="1" ht="16.8" customHeight="1">
      <c r="A284" s="109"/>
      <c r="B284" s="348" t="s">
        <v>177</v>
      </c>
      <c r="C284" s="348"/>
      <c r="D284" s="348"/>
      <c r="E284" s="348"/>
      <c r="F284" s="348"/>
      <c r="G284" s="348"/>
      <c r="H284" s="348"/>
    </row>
    <row r="285" spans="1:20" ht="15" customHeight="1">
      <c r="A285" s="7" t="s">
        <v>15</v>
      </c>
      <c r="B285" s="8" t="s">
        <v>16</v>
      </c>
      <c r="C285" s="9" t="s">
        <v>17</v>
      </c>
      <c r="D285" s="10" t="s">
        <v>18</v>
      </c>
      <c r="E285" s="45" t="s">
        <v>19</v>
      </c>
      <c r="F285" s="11" t="s">
        <v>5</v>
      </c>
      <c r="G285" s="7" t="s">
        <v>20</v>
      </c>
      <c r="H285" s="7" t="s">
        <v>21</v>
      </c>
      <c r="K285">
        <f>225*17000</f>
        <v>3825000</v>
      </c>
      <c r="L285" t="s">
        <v>33</v>
      </c>
      <c r="N285" s="12" t="s">
        <v>22</v>
      </c>
      <c r="O285" s="92">
        <f>Q285/P285</f>
        <v>0.11931330472103005</v>
      </c>
      <c r="P285" s="17">
        <v>233</v>
      </c>
      <c r="Q285" s="53" t="s">
        <v>108</v>
      </c>
      <c r="R285" s="12" t="s">
        <v>1</v>
      </c>
      <c r="S285" s="13">
        <v>21525</v>
      </c>
      <c r="T285" s="14">
        <f>Q285*S285</f>
        <v>598395</v>
      </c>
    </row>
    <row r="286" spans="1:20" s="117" customFormat="1" ht="15" customHeight="1">
      <c r="A286" s="356" t="s">
        <v>175</v>
      </c>
      <c r="B286" s="111" t="s">
        <v>11</v>
      </c>
      <c r="C286" s="112">
        <f>E286/D286</f>
        <v>0.1198237885462555</v>
      </c>
      <c r="D286" s="38">
        <v>227</v>
      </c>
      <c r="E286" s="184">
        <v>27.2</v>
      </c>
      <c r="F286" s="113" t="s">
        <v>1</v>
      </c>
      <c r="G286" s="114">
        <v>21525</v>
      </c>
      <c r="H286" s="115">
        <f>E286*G286</f>
        <v>585480</v>
      </c>
      <c r="I286" s="116"/>
      <c r="N286" s="38" t="s">
        <v>6</v>
      </c>
      <c r="O286" s="118">
        <f>Q286/P286</f>
        <v>6.5236051502145925E-2</v>
      </c>
      <c r="P286" s="38">
        <v>233</v>
      </c>
      <c r="Q286" s="119" t="s">
        <v>124</v>
      </c>
      <c r="R286" s="38" t="s">
        <v>1</v>
      </c>
      <c r="S286" s="120">
        <v>136500</v>
      </c>
      <c r="T286" s="121">
        <f>Q286*S286</f>
        <v>2074800</v>
      </c>
    </row>
    <row r="287" spans="1:20" s="117" customFormat="1" ht="15" customHeight="1">
      <c r="A287" s="357"/>
      <c r="B287" s="38" t="s">
        <v>42</v>
      </c>
      <c r="C287" s="38">
        <f>E287/D287</f>
        <v>5.7709251101321586E-2</v>
      </c>
      <c r="D287" s="38">
        <v>227</v>
      </c>
      <c r="E287" s="163">
        <v>13.1</v>
      </c>
      <c r="F287" s="38" t="s">
        <v>1</v>
      </c>
      <c r="G287" s="120">
        <v>172800</v>
      </c>
      <c r="H287" s="121">
        <f>E287*G287</f>
        <v>2263680</v>
      </c>
      <c r="I287" s="124">
        <f>227*17000</f>
        <v>3859000</v>
      </c>
      <c r="N287" s="38" t="s">
        <v>34</v>
      </c>
      <c r="O287" s="118">
        <f t="shared" ref="O287:O288" si="38">Q287/P287</f>
        <v>3.004291845493562E-3</v>
      </c>
      <c r="P287" s="38">
        <v>233</v>
      </c>
      <c r="Q287" s="119" t="s">
        <v>35</v>
      </c>
      <c r="R287" s="38" t="s">
        <v>1</v>
      </c>
      <c r="S287" s="120">
        <v>306600</v>
      </c>
      <c r="T287" s="121">
        <f>Q287*S287</f>
        <v>214620</v>
      </c>
    </row>
    <row r="288" spans="1:20" s="117" customFormat="1" ht="15" customHeight="1">
      <c r="A288" s="358"/>
      <c r="B288" s="38" t="s">
        <v>43</v>
      </c>
      <c r="C288" s="38">
        <f t="shared" ref="C288:C290" si="39">E288/D288</f>
        <v>0.5770925110132159</v>
      </c>
      <c r="D288" s="38">
        <v>227</v>
      </c>
      <c r="E288" s="163">
        <v>131</v>
      </c>
      <c r="F288" s="38" t="s">
        <v>1</v>
      </c>
      <c r="G288" s="120">
        <v>3456</v>
      </c>
      <c r="H288" s="121">
        <f t="shared" ref="H288:H294" si="40">E288*G288</f>
        <v>452736</v>
      </c>
      <c r="I288" s="128">
        <f>I287-H296</f>
        <v>0</v>
      </c>
      <c r="J288" s="117" t="s">
        <v>71</v>
      </c>
      <c r="K288" s="117">
        <v>22050</v>
      </c>
      <c r="L288" s="123">
        <f>K288*5</f>
        <v>110250</v>
      </c>
      <c r="M288" s="117" t="s">
        <v>88</v>
      </c>
      <c r="N288" s="38" t="s">
        <v>36</v>
      </c>
      <c r="O288" s="118">
        <f t="shared" si="38"/>
        <v>3.733905579399141E-2</v>
      </c>
      <c r="P288" s="38">
        <v>233</v>
      </c>
      <c r="Q288" s="119" t="s">
        <v>112</v>
      </c>
      <c r="R288" s="38" t="s">
        <v>1</v>
      </c>
      <c r="S288" s="120">
        <v>67200</v>
      </c>
      <c r="T288" s="121">
        <f>Q288*S288</f>
        <v>584640</v>
      </c>
    </row>
    <row r="289" spans="1:20" s="117" customFormat="1" ht="15" customHeight="1">
      <c r="A289" s="358"/>
      <c r="B289" s="38" t="s">
        <v>44</v>
      </c>
      <c r="C289" s="38">
        <f t="shared" si="39"/>
        <v>2.2026431718061675E-2</v>
      </c>
      <c r="D289" s="38">
        <v>227</v>
      </c>
      <c r="E289" s="163">
        <v>5</v>
      </c>
      <c r="F289" s="38" t="s">
        <v>1</v>
      </c>
      <c r="G289" s="120">
        <v>23100</v>
      </c>
      <c r="H289" s="121">
        <f t="shared" si="40"/>
        <v>115500</v>
      </c>
      <c r="J289" s="117" t="s">
        <v>39</v>
      </c>
      <c r="K289" s="117" t="s">
        <v>40</v>
      </c>
      <c r="L289" s="123">
        <f>136500*1</f>
        <v>136500</v>
      </c>
      <c r="N289" s="38" t="s">
        <v>72</v>
      </c>
      <c r="O289" s="38"/>
      <c r="P289" s="38">
        <v>233</v>
      </c>
      <c r="Q289" s="119"/>
      <c r="R289" s="38" t="s">
        <v>27</v>
      </c>
      <c r="S289" s="120">
        <v>1450</v>
      </c>
      <c r="T289" s="121">
        <f>184800+136500</f>
        <v>321300</v>
      </c>
    </row>
    <row r="290" spans="1:20" s="117" customFormat="1" ht="15" customHeight="1">
      <c r="A290" s="358"/>
      <c r="B290" s="38" t="s">
        <v>13</v>
      </c>
      <c r="C290" s="38">
        <f t="shared" si="39"/>
        <v>4.4052863436123352E-3</v>
      </c>
      <c r="D290" s="38">
        <v>227</v>
      </c>
      <c r="E290" s="163">
        <v>1</v>
      </c>
      <c r="F290" s="38" t="s">
        <v>1</v>
      </c>
      <c r="G290" s="120">
        <v>164850</v>
      </c>
      <c r="H290" s="121">
        <f t="shared" si="40"/>
        <v>164850</v>
      </c>
      <c r="I290" s="124">
        <f>229*17000</f>
        <v>3893000</v>
      </c>
      <c r="J290" s="117" t="s">
        <v>66</v>
      </c>
      <c r="K290" s="117">
        <v>60900</v>
      </c>
      <c r="L290" s="123">
        <f>K290*0.1</f>
        <v>6090</v>
      </c>
      <c r="N290" s="125" t="s">
        <v>25</v>
      </c>
      <c r="O290" s="125"/>
      <c r="P290" s="125"/>
      <c r="Q290" s="126"/>
      <c r="R290" s="127"/>
      <c r="S290" s="125"/>
      <c r="T290" s="121">
        <v>136716</v>
      </c>
    </row>
    <row r="291" spans="1:20" s="117" customFormat="1" ht="15" customHeight="1">
      <c r="A291" s="358"/>
      <c r="B291" s="38" t="s">
        <v>119</v>
      </c>
      <c r="C291" s="38"/>
      <c r="D291" s="38">
        <v>227</v>
      </c>
      <c r="E291" s="163">
        <v>5.8</v>
      </c>
      <c r="F291" s="38" t="s">
        <v>1</v>
      </c>
      <c r="G291" s="120">
        <v>18900</v>
      </c>
      <c r="H291" s="121">
        <f t="shared" si="40"/>
        <v>109620</v>
      </c>
      <c r="I291" s="128">
        <f>H296-I290</f>
        <v>-34000</v>
      </c>
      <c r="L291" s="123"/>
      <c r="N291" s="129"/>
      <c r="O291" s="129"/>
      <c r="P291" s="129"/>
      <c r="Q291" s="130"/>
      <c r="R291" s="131"/>
      <c r="S291" s="129"/>
      <c r="T291" s="132"/>
    </row>
    <row r="292" spans="1:20" s="117" customFormat="1" ht="15" customHeight="1">
      <c r="A292" s="358"/>
      <c r="B292" s="38" t="s">
        <v>14</v>
      </c>
      <c r="C292" s="38"/>
      <c r="D292" s="38">
        <v>227</v>
      </c>
      <c r="E292" s="163">
        <v>1.1000000000000001</v>
      </c>
      <c r="F292" s="38" t="s">
        <v>1</v>
      </c>
      <c r="G292" s="120">
        <v>21000</v>
      </c>
      <c r="H292" s="121">
        <f t="shared" si="40"/>
        <v>23100.000000000004</v>
      </c>
      <c r="I292" s="128"/>
      <c r="L292" s="123"/>
      <c r="N292" s="129"/>
      <c r="O292" s="129"/>
      <c r="P292" s="129"/>
      <c r="Q292" s="130"/>
      <c r="R292" s="131"/>
      <c r="S292" s="129"/>
      <c r="T292" s="132"/>
    </row>
    <row r="293" spans="1:20" s="117" customFormat="1" ht="15" customHeight="1">
      <c r="A293" s="358"/>
      <c r="B293" s="38" t="s">
        <v>12</v>
      </c>
      <c r="C293" s="38"/>
      <c r="D293" s="38">
        <v>227</v>
      </c>
      <c r="E293" s="163">
        <v>0.1</v>
      </c>
      <c r="F293" s="38" t="s">
        <v>1</v>
      </c>
      <c r="G293" s="120">
        <v>60900</v>
      </c>
      <c r="H293" s="121">
        <f t="shared" si="40"/>
        <v>6090</v>
      </c>
      <c r="L293" s="123"/>
      <c r="N293" s="129"/>
      <c r="O293" s="129"/>
      <c r="P293" s="129"/>
      <c r="Q293" s="130"/>
      <c r="R293" s="131"/>
      <c r="S293" s="129"/>
      <c r="T293" s="132"/>
    </row>
    <row r="294" spans="1:20" s="117" customFormat="1" ht="15" customHeight="1">
      <c r="A294" s="358"/>
      <c r="B294" s="38" t="s">
        <v>41</v>
      </c>
      <c r="C294" s="38"/>
      <c r="D294" s="38">
        <v>227</v>
      </c>
      <c r="E294" s="185">
        <v>0.1</v>
      </c>
      <c r="F294" s="38" t="s">
        <v>1</v>
      </c>
      <c r="G294" s="120">
        <v>42000</v>
      </c>
      <c r="H294" s="121">
        <f t="shared" si="40"/>
        <v>4200</v>
      </c>
      <c r="L294" s="123"/>
      <c r="N294" s="129"/>
      <c r="O294" s="129"/>
      <c r="P294" s="129"/>
      <c r="Q294" s="130"/>
      <c r="R294" s="131"/>
      <c r="S294" s="129"/>
      <c r="T294" s="132"/>
    </row>
    <row r="295" spans="1:20" s="117" customFormat="1" ht="15" customHeight="1">
      <c r="A295" s="358"/>
      <c r="B295" s="125" t="s">
        <v>25</v>
      </c>
      <c r="C295" s="125"/>
      <c r="D295" s="125"/>
      <c r="E295" s="126"/>
      <c r="F295" s="127"/>
      <c r="G295" s="125"/>
      <c r="H295" s="133">
        <f>133080+664</f>
        <v>133744</v>
      </c>
      <c r="I295" s="134" t="s">
        <v>138</v>
      </c>
      <c r="J295" s="117" t="s">
        <v>67</v>
      </c>
      <c r="K295" s="117">
        <v>42000</v>
      </c>
      <c r="L295" s="135">
        <f>K295*0.1</f>
        <v>4200</v>
      </c>
      <c r="M295" s="123">
        <f>246750-136500</f>
        <v>110250</v>
      </c>
    </row>
    <row r="296" spans="1:20" s="117" customFormat="1" ht="22.2" customHeight="1">
      <c r="A296" s="359"/>
      <c r="B296" s="361"/>
      <c r="C296" s="362"/>
      <c r="D296" s="362"/>
      <c r="E296" s="362"/>
      <c r="F296" s="362"/>
      <c r="G296" s="363"/>
      <c r="H296" s="139">
        <f>SUM(H286:H295)</f>
        <v>3859000</v>
      </c>
      <c r="J296" s="117" t="s">
        <v>114</v>
      </c>
      <c r="K296" s="128">
        <v>68040</v>
      </c>
      <c r="L296" s="128">
        <f>0.1*K296</f>
        <v>6804</v>
      </c>
    </row>
    <row r="297" spans="1:20" s="117" customFormat="1" ht="15" customHeight="1">
      <c r="A297" s="349" t="s">
        <v>178</v>
      </c>
      <c r="B297" s="113" t="s">
        <v>22</v>
      </c>
      <c r="C297" s="140">
        <f>E297/D297</f>
        <v>0.11991341991341992</v>
      </c>
      <c r="D297" s="38">
        <v>231</v>
      </c>
      <c r="E297" s="186" t="s">
        <v>121</v>
      </c>
      <c r="F297" s="113" t="s">
        <v>1</v>
      </c>
      <c r="G297" s="141">
        <v>21525</v>
      </c>
      <c r="H297" s="115">
        <f>E297*G297</f>
        <v>596242.5</v>
      </c>
      <c r="I297" s="182">
        <f>H296-I287</f>
        <v>0</v>
      </c>
      <c r="J297" s="128"/>
    </row>
    <row r="298" spans="1:20" s="117" customFormat="1" ht="15" customHeight="1">
      <c r="A298" s="350"/>
      <c r="B298" s="38" t="s">
        <v>87</v>
      </c>
      <c r="C298" s="142">
        <f t="shared" ref="C298:C299" si="41">E298/D298</f>
        <v>7.3593073593073599E-2</v>
      </c>
      <c r="D298" s="38">
        <v>231</v>
      </c>
      <c r="E298" s="143">
        <v>17</v>
      </c>
      <c r="F298" s="38" t="s">
        <v>1</v>
      </c>
      <c r="G298" s="120">
        <v>130200</v>
      </c>
      <c r="H298" s="121">
        <f>E298*G298-1892</f>
        <v>2211508</v>
      </c>
      <c r="I298" s="123">
        <f>231*17000</f>
        <v>3927000</v>
      </c>
      <c r="J298" s="124">
        <f>232*17000</f>
        <v>3944000</v>
      </c>
    </row>
    <row r="299" spans="1:20" s="117" customFormat="1" ht="15" customHeight="1">
      <c r="A299" s="350"/>
      <c r="B299" s="38" t="s">
        <v>36</v>
      </c>
      <c r="C299" s="144">
        <f t="shared" si="41"/>
        <v>3.0735930735930735E-2</v>
      </c>
      <c r="D299" s="38">
        <v>231</v>
      </c>
      <c r="E299" s="119" t="s">
        <v>126</v>
      </c>
      <c r="F299" s="38" t="s">
        <v>1</v>
      </c>
      <c r="G299" s="120">
        <v>67200</v>
      </c>
      <c r="H299" s="121">
        <f>E299*G299</f>
        <v>477120</v>
      </c>
    </row>
    <row r="300" spans="1:20" s="117" customFormat="1" ht="15" customHeight="1">
      <c r="A300" s="350"/>
      <c r="B300" s="38" t="s">
        <v>78</v>
      </c>
      <c r="C300" s="144"/>
      <c r="D300" s="38">
        <v>231</v>
      </c>
      <c r="E300" s="119" t="s">
        <v>48</v>
      </c>
      <c r="F300" s="38" t="s">
        <v>1</v>
      </c>
      <c r="G300" s="120">
        <v>78750</v>
      </c>
      <c r="H300" s="121">
        <f t="shared" ref="H300:H304" si="42">E300*G300</f>
        <v>236250</v>
      </c>
      <c r="I300" s="135">
        <f>I298-H306</f>
        <v>0</v>
      </c>
    </row>
    <row r="301" spans="1:20" s="117" customFormat="1" ht="15" customHeight="1">
      <c r="A301" s="350"/>
      <c r="B301" s="38" t="s">
        <v>79</v>
      </c>
      <c r="C301" s="144"/>
      <c r="D301" s="38">
        <v>231</v>
      </c>
      <c r="E301" s="119" t="s">
        <v>182</v>
      </c>
      <c r="F301" s="38" t="s">
        <v>4</v>
      </c>
      <c r="G301" s="120">
        <v>20478</v>
      </c>
      <c r="H301" s="121">
        <f t="shared" si="42"/>
        <v>247783.8</v>
      </c>
    </row>
    <row r="302" spans="1:20" s="117" customFormat="1" ht="15" customHeight="1">
      <c r="A302" s="351"/>
      <c r="B302" s="38" t="s">
        <v>81</v>
      </c>
      <c r="C302" s="38"/>
      <c r="D302" s="38">
        <v>231</v>
      </c>
      <c r="E302" s="119" t="s">
        <v>46</v>
      </c>
      <c r="F302" s="38" t="s">
        <v>1</v>
      </c>
      <c r="G302" s="120">
        <v>63000</v>
      </c>
      <c r="H302" s="121">
        <f t="shared" si="42"/>
        <v>6300</v>
      </c>
    </row>
    <row r="303" spans="1:20" s="117" customFormat="1" ht="15" customHeight="1">
      <c r="A303" s="351"/>
      <c r="B303" s="38" t="s">
        <v>66</v>
      </c>
      <c r="C303" s="146"/>
      <c r="D303" s="38">
        <v>231</v>
      </c>
      <c r="E303" s="119" t="s">
        <v>46</v>
      </c>
      <c r="F303" s="38" t="s">
        <v>1</v>
      </c>
      <c r="G303" s="120">
        <v>60900</v>
      </c>
      <c r="H303" s="121">
        <f t="shared" si="42"/>
        <v>6090</v>
      </c>
    </row>
    <row r="304" spans="1:20" s="148" customFormat="1" ht="15" customHeight="1">
      <c r="A304" s="351"/>
      <c r="B304" s="38" t="s">
        <v>82</v>
      </c>
      <c r="C304" s="125"/>
      <c r="D304" s="38">
        <v>231</v>
      </c>
      <c r="E304" s="119" t="s">
        <v>57</v>
      </c>
      <c r="F304" s="38" t="s">
        <v>1</v>
      </c>
      <c r="G304" s="120">
        <v>42000</v>
      </c>
      <c r="H304" s="121">
        <f t="shared" si="42"/>
        <v>8400</v>
      </c>
      <c r="I304" s="147">
        <f>H306-I290</f>
        <v>34000</v>
      </c>
      <c r="M304" s="117"/>
    </row>
    <row r="305" spans="1:13" s="117" customFormat="1" ht="15" customHeight="1">
      <c r="A305" s="145"/>
      <c r="B305" s="125" t="s">
        <v>25</v>
      </c>
      <c r="C305" s="125"/>
      <c r="D305" s="38">
        <v>231</v>
      </c>
      <c r="E305" s="126"/>
      <c r="F305" s="127"/>
      <c r="G305" s="125"/>
      <c r="H305" s="133">
        <f>136716+558.7+31</f>
        <v>137305.70000000001</v>
      </c>
      <c r="I305" s="134" t="s">
        <v>138</v>
      </c>
      <c r="J305" s="117" t="s">
        <v>67</v>
      </c>
      <c r="K305" s="117">
        <v>42000</v>
      </c>
      <c r="L305" s="135">
        <f>K305*0.1</f>
        <v>4200</v>
      </c>
      <c r="M305" s="123">
        <f>246750-136500</f>
        <v>110250</v>
      </c>
    </row>
    <row r="306" spans="1:13" s="148" customFormat="1" ht="18.600000000000001" customHeight="1">
      <c r="A306" s="149"/>
      <c r="B306" s="150"/>
      <c r="C306" s="151"/>
      <c r="D306" s="151"/>
      <c r="E306" s="152"/>
      <c r="F306" s="153"/>
      <c r="G306" s="150"/>
      <c r="H306" s="154">
        <f>SUM(H297:H305)</f>
        <v>3927000</v>
      </c>
      <c r="I306" s="183">
        <f>H306-I309</f>
        <v>34000</v>
      </c>
      <c r="L306" s="156"/>
      <c r="M306" s="157"/>
    </row>
    <row r="307" spans="1:13" s="117" customFormat="1" ht="15" customHeight="1">
      <c r="A307" s="122"/>
      <c r="B307" s="113" t="s">
        <v>22</v>
      </c>
      <c r="C307" s="140">
        <f>E307/D307</f>
        <v>0.12008733624454149</v>
      </c>
      <c r="D307" s="159">
        <v>229</v>
      </c>
      <c r="E307" s="187" t="s">
        <v>161</v>
      </c>
      <c r="F307" s="160" t="s">
        <v>1</v>
      </c>
      <c r="G307" s="141">
        <v>21525</v>
      </c>
      <c r="H307" s="161">
        <f>E307*G307</f>
        <v>591937.5</v>
      </c>
      <c r="K307" s="128"/>
      <c r="L307" s="128"/>
    </row>
    <row r="308" spans="1:13" s="117" customFormat="1" ht="15" customHeight="1">
      <c r="A308" s="350" t="s">
        <v>179</v>
      </c>
      <c r="B308" s="162" t="s">
        <v>144</v>
      </c>
      <c r="C308" s="142">
        <f>E308/D308</f>
        <v>5.8078602620087343E-2</v>
      </c>
      <c r="D308" s="164">
        <v>229</v>
      </c>
      <c r="E308" s="188" t="s">
        <v>183</v>
      </c>
      <c r="F308" s="38" t="s">
        <v>1</v>
      </c>
      <c r="G308" s="165">
        <v>162000</v>
      </c>
      <c r="H308" s="121">
        <f t="shared" ref="H308:H313" si="43">E308*G308</f>
        <v>2154600</v>
      </c>
      <c r="K308" s="128"/>
      <c r="L308" s="128"/>
    </row>
    <row r="309" spans="1:13" s="117" customFormat="1" ht="15" customHeight="1">
      <c r="A309" s="350"/>
      <c r="B309" s="162" t="s">
        <v>53</v>
      </c>
      <c r="C309" s="142">
        <f t="shared" ref="C309:C311" si="44">E309/D309</f>
        <v>3.4934497816593885E-2</v>
      </c>
      <c r="D309" s="164">
        <v>229</v>
      </c>
      <c r="E309" s="188" t="s">
        <v>23</v>
      </c>
      <c r="F309" s="38" t="s">
        <v>1</v>
      </c>
      <c r="G309" s="165">
        <v>89250</v>
      </c>
      <c r="H309" s="121">
        <f t="shared" si="43"/>
        <v>714000</v>
      </c>
      <c r="I309" s="124">
        <f>229*17000</f>
        <v>3893000</v>
      </c>
      <c r="J309" s="128">
        <f>H305*15</f>
        <v>2059585.5000000002</v>
      </c>
      <c r="K309" s="128"/>
      <c r="L309" s="128"/>
    </row>
    <row r="310" spans="1:13" s="117" customFormat="1" ht="15" customHeight="1">
      <c r="A310" s="350"/>
      <c r="B310" s="38" t="s">
        <v>153</v>
      </c>
      <c r="C310" s="142">
        <f t="shared" si="44"/>
        <v>4.3668122270742356E-3</v>
      </c>
      <c r="D310" s="164">
        <v>229</v>
      </c>
      <c r="E310" s="163">
        <v>1</v>
      </c>
      <c r="F310" s="38" t="s">
        <v>4</v>
      </c>
      <c r="G310" s="120">
        <v>137550</v>
      </c>
      <c r="H310" s="121">
        <f t="shared" si="43"/>
        <v>137550</v>
      </c>
      <c r="K310" s="128"/>
      <c r="L310" s="128"/>
    </row>
    <row r="311" spans="1:13" s="117" customFormat="1" ht="15" customHeight="1">
      <c r="A311" s="350"/>
      <c r="B311" s="38" t="s">
        <v>55</v>
      </c>
      <c r="C311" s="163">
        <f t="shared" si="44"/>
        <v>4.3668122270742359E-4</v>
      </c>
      <c r="D311" s="164">
        <v>229</v>
      </c>
      <c r="E311" s="163">
        <v>0.1</v>
      </c>
      <c r="F311" s="38" t="s">
        <v>4</v>
      </c>
      <c r="G311" s="120">
        <v>42000</v>
      </c>
      <c r="H311" s="121">
        <f t="shared" si="43"/>
        <v>4200</v>
      </c>
      <c r="K311" s="128"/>
      <c r="L311" s="128"/>
    </row>
    <row r="312" spans="1:13" s="117" customFormat="1" ht="15" customHeight="1">
      <c r="A312" s="350"/>
      <c r="B312" s="162" t="s">
        <v>154</v>
      </c>
      <c r="C312" s="163"/>
      <c r="D312" s="166"/>
      <c r="E312" s="185">
        <v>7.8</v>
      </c>
      <c r="F312" s="38" t="s">
        <v>1</v>
      </c>
      <c r="G312" s="120">
        <v>18900</v>
      </c>
      <c r="H312" s="121">
        <f t="shared" si="43"/>
        <v>147420</v>
      </c>
      <c r="K312" s="128"/>
      <c r="L312" s="128"/>
    </row>
    <row r="313" spans="1:13" s="117" customFormat="1" ht="15" customHeight="1">
      <c r="A313" s="350"/>
      <c r="B313" s="38" t="s">
        <v>66</v>
      </c>
      <c r="C313" s="146"/>
      <c r="D313" s="38"/>
      <c r="E313" s="119" t="s">
        <v>46</v>
      </c>
      <c r="F313" s="38" t="s">
        <v>1</v>
      </c>
      <c r="G313" s="120">
        <v>60900</v>
      </c>
      <c r="H313" s="121">
        <f t="shared" si="43"/>
        <v>6090</v>
      </c>
      <c r="K313" s="128"/>
      <c r="L313" s="128"/>
    </row>
    <row r="314" spans="1:13" s="117" customFormat="1" ht="15" customHeight="1">
      <c r="A314" s="351"/>
      <c r="B314" s="167" t="s">
        <v>25</v>
      </c>
      <c r="C314" s="146"/>
      <c r="D314" s="168"/>
      <c r="E314" s="169"/>
      <c r="F314" s="164" t="s">
        <v>1</v>
      </c>
      <c r="G314" s="120"/>
      <c r="H314" s="133">
        <f>136716+486</f>
        <v>137202</v>
      </c>
      <c r="I314" s="134" t="s">
        <v>138</v>
      </c>
      <c r="K314" s="128"/>
      <c r="L314" s="128"/>
    </row>
    <row r="315" spans="1:13" s="117" customFormat="1" ht="20.399999999999999" customHeight="1">
      <c r="A315" s="170"/>
      <c r="B315" s="136"/>
      <c r="C315" s="137"/>
      <c r="D315" s="137"/>
      <c r="E315" s="137"/>
      <c r="F315" s="137"/>
      <c r="G315" s="138"/>
      <c r="H315" s="139">
        <f>SUM(H307:H314)</f>
        <v>3892999.5</v>
      </c>
      <c r="I315" s="128">
        <f>I309-H315</f>
        <v>0.5</v>
      </c>
      <c r="K315" s="128"/>
      <c r="L315" s="128"/>
    </row>
    <row r="316" spans="1:13" s="232" customFormat="1" ht="20.399999999999999" customHeight="1">
      <c r="A316" s="364" t="s">
        <v>180</v>
      </c>
      <c r="B316" s="226" t="s">
        <v>22</v>
      </c>
      <c r="C316" s="227">
        <f>E316/D316</f>
        <v>0.12008733624454149</v>
      </c>
      <c r="D316" s="228">
        <v>229</v>
      </c>
      <c r="E316" s="229" t="s">
        <v>161</v>
      </c>
      <c r="F316" s="226" t="s">
        <v>1</v>
      </c>
      <c r="G316" s="141">
        <v>21525</v>
      </c>
      <c r="H316" s="230">
        <f>E316*G316</f>
        <v>591937.5</v>
      </c>
      <c r="I316" s="231"/>
      <c r="K316" s="231"/>
      <c r="L316" s="231"/>
    </row>
    <row r="317" spans="1:13" s="232" customFormat="1" ht="20.399999999999999" customHeight="1">
      <c r="A317" s="365"/>
      <c r="B317" s="228" t="s">
        <v>159</v>
      </c>
      <c r="C317" s="227">
        <f>E317/D317</f>
        <v>3.88646288209607E-2</v>
      </c>
      <c r="D317" s="228">
        <v>229</v>
      </c>
      <c r="E317" s="233">
        <v>8.9</v>
      </c>
      <c r="F317" s="228" t="s">
        <v>1</v>
      </c>
      <c r="G317" s="234">
        <v>215250</v>
      </c>
      <c r="H317" s="235">
        <f>E317*G317</f>
        <v>1915725</v>
      </c>
      <c r="I317" s="231"/>
      <c r="K317" s="231"/>
      <c r="L317" s="231"/>
    </row>
    <row r="318" spans="1:13" s="232" customFormat="1" ht="20.399999999999999" customHeight="1">
      <c r="A318" s="365"/>
      <c r="B318" s="228" t="s">
        <v>87</v>
      </c>
      <c r="C318" s="227">
        <f t="shared" ref="C318:C321" si="45">E318/D318</f>
        <v>1.7903930131004366E-2</v>
      </c>
      <c r="D318" s="228">
        <v>229</v>
      </c>
      <c r="E318" s="233">
        <v>4.0999999999999996</v>
      </c>
      <c r="F318" s="228" t="s">
        <v>1</v>
      </c>
      <c r="G318" s="234">
        <v>123900</v>
      </c>
      <c r="H318" s="235">
        <f t="shared" ref="H318:H320" si="46">E318*G318</f>
        <v>507989.99999999994</v>
      </c>
      <c r="I318" s="231"/>
      <c r="K318" s="231"/>
      <c r="L318" s="231"/>
    </row>
    <row r="319" spans="1:13" s="232" customFormat="1" ht="20.399999999999999" customHeight="1">
      <c r="A319" s="365"/>
      <c r="B319" s="228" t="s">
        <v>6</v>
      </c>
      <c r="C319" s="227">
        <f t="shared" si="45"/>
        <v>4.3668122270742356E-3</v>
      </c>
      <c r="D319" s="228">
        <v>229</v>
      </c>
      <c r="E319" s="236">
        <v>1</v>
      </c>
      <c r="F319" s="228" t="s">
        <v>1</v>
      </c>
      <c r="G319" s="234">
        <v>137550</v>
      </c>
      <c r="H319" s="235">
        <f t="shared" si="46"/>
        <v>137550</v>
      </c>
      <c r="I319" s="231">
        <f>229*17000</f>
        <v>3893000</v>
      </c>
      <c r="K319" s="231"/>
      <c r="L319" s="231"/>
    </row>
    <row r="320" spans="1:13" s="232" customFormat="1" ht="20.399999999999999" customHeight="1">
      <c r="A320" s="365"/>
      <c r="B320" s="228" t="s">
        <v>9</v>
      </c>
      <c r="C320" s="227">
        <f t="shared" si="45"/>
        <v>4.3668122270742356E-3</v>
      </c>
      <c r="D320" s="228">
        <v>229</v>
      </c>
      <c r="E320" s="237">
        <v>1</v>
      </c>
      <c r="F320" s="228" t="s">
        <v>1</v>
      </c>
      <c r="G320" s="234">
        <v>44280</v>
      </c>
      <c r="H320" s="235">
        <f t="shared" si="46"/>
        <v>44280</v>
      </c>
      <c r="I320" s="231"/>
      <c r="K320" s="231"/>
      <c r="L320" s="231"/>
    </row>
    <row r="321" spans="1:13" s="232" customFormat="1" ht="20.399999999999999" customHeight="1">
      <c r="A321" s="365"/>
      <c r="B321" s="228" t="s">
        <v>31</v>
      </c>
      <c r="C321" s="227">
        <f t="shared" si="45"/>
        <v>4.0611353711790393E-2</v>
      </c>
      <c r="D321" s="228">
        <v>229</v>
      </c>
      <c r="E321" s="237">
        <v>9.3000000000000007</v>
      </c>
      <c r="F321" s="228" t="s">
        <v>1</v>
      </c>
      <c r="G321" s="234">
        <v>42000</v>
      </c>
      <c r="H321" s="235">
        <f>E321*G321</f>
        <v>390600.00000000006</v>
      </c>
      <c r="I321" s="231"/>
      <c r="K321" s="231"/>
      <c r="L321" s="231"/>
    </row>
    <row r="322" spans="1:13" s="232" customFormat="1" ht="20.399999999999999" customHeight="1">
      <c r="A322" s="365"/>
      <c r="B322" s="228" t="s">
        <v>120</v>
      </c>
      <c r="C322" s="238"/>
      <c r="D322" s="228"/>
      <c r="E322" s="237">
        <v>7.5</v>
      </c>
      <c r="F322" s="228" t="s">
        <v>1</v>
      </c>
      <c r="G322" s="239">
        <v>21000</v>
      </c>
      <c r="H322" s="235">
        <f t="shared" ref="H322:H324" si="47">E322*G322</f>
        <v>157500</v>
      </c>
      <c r="I322" s="231">
        <f>H326-I319</f>
        <v>-0.5</v>
      </c>
      <c r="K322" s="231"/>
      <c r="L322" s="231"/>
    </row>
    <row r="323" spans="1:13" s="232" customFormat="1" ht="20.399999999999999" customHeight="1">
      <c r="A323" s="365"/>
      <c r="B323" s="228" t="s">
        <v>12</v>
      </c>
      <c r="C323" s="240"/>
      <c r="D323" s="228"/>
      <c r="E323" s="237">
        <v>0.1</v>
      </c>
      <c r="F323" s="228" t="s">
        <v>1</v>
      </c>
      <c r="G323" s="234">
        <v>60900</v>
      </c>
      <c r="H323" s="235">
        <f t="shared" si="47"/>
        <v>6090</v>
      </c>
      <c r="I323" s="231"/>
      <c r="K323" s="231"/>
      <c r="L323" s="231"/>
    </row>
    <row r="324" spans="1:13" s="232" customFormat="1" ht="20.399999999999999" customHeight="1">
      <c r="A324" s="365"/>
      <c r="B324" s="228" t="s">
        <v>51</v>
      </c>
      <c r="C324" s="240"/>
      <c r="D324" s="228"/>
      <c r="E324" s="237">
        <v>0.1</v>
      </c>
      <c r="F324" s="228" t="s">
        <v>1</v>
      </c>
      <c r="G324" s="239">
        <v>42000</v>
      </c>
      <c r="H324" s="235">
        <f t="shared" si="47"/>
        <v>4200</v>
      </c>
      <c r="I324" s="231"/>
      <c r="K324" s="231"/>
      <c r="L324" s="231"/>
    </row>
    <row r="325" spans="1:13" s="232" customFormat="1" ht="20.399999999999999" customHeight="1">
      <c r="A325" s="241"/>
      <c r="B325" s="242" t="s">
        <v>25</v>
      </c>
      <c r="C325" s="243"/>
      <c r="D325" s="244"/>
      <c r="E325" s="245"/>
      <c r="F325" s="246"/>
      <c r="G325" s="239"/>
      <c r="H325" s="247">
        <f>136716+411</f>
        <v>137127</v>
      </c>
      <c r="I325" s="232" t="s">
        <v>138</v>
      </c>
      <c r="K325" s="231"/>
      <c r="L325" s="231"/>
    </row>
    <row r="326" spans="1:13" s="134" customFormat="1" ht="20.399999999999999" customHeight="1">
      <c r="A326" s="218"/>
      <c r="B326" s="219"/>
      <c r="C326" s="220"/>
      <c r="D326" s="220"/>
      <c r="E326" s="220"/>
      <c r="F326" s="220"/>
      <c r="G326" s="220"/>
      <c r="H326" s="221">
        <f>SUM(H316:H325)</f>
        <v>3892999.5</v>
      </c>
      <c r="I326" s="217">
        <f>H326-I309</f>
        <v>-0.5</v>
      </c>
      <c r="K326" s="217"/>
      <c r="L326" s="217"/>
    </row>
    <row r="327" spans="1:13" s="232" customFormat="1" ht="15" customHeight="1">
      <c r="A327" s="360" t="s">
        <v>181</v>
      </c>
      <c r="B327" s="250" t="s">
        <v>22</v>
      </c>
      <c r="C327" s="251">
        <f>E327/D327</f>
        <v>0.11948051948051949</v>
      </c>
      <c r="D327" s="228">
        <v>231</v>
      </c>
      <c r="E327" s="252" t="s">
        <v>143</v>
      </c>
      <c r="F327" s="253" t="s">
        <v>1</v>
      </c>
      <c r="G327" s="209">
        <v>21525</v>
      </c>
      <c r="H327" s="254">
        <f>E327*G327</f>
        <v>594090</v>
      </c>
      <c r="I327" s="255">
        <f>J329-H336</f>
        <v>0</v>
      </c>
      <c r="J327" s="231"/>
    </row>
    <row r="328" spans="1:13" s="232" customFormat="1" ht="15" customHeight="1">
      <c r="A328" s="360"/>
      <c r="B328" s="253" t="s">
        <v>184</v>
      </c>
      <c r="C328" s="238">
        <f t="shared" ref="C328:C330" si="48">E328/D328</f>
        <v>8.0086580086580081E-2</v>
      </c>
      <c r="D328" s="228">
        <v>231</v>
      </c>
      <c r="E328" s="252" t="s">
        <v>186</v>
      </c>
      <c r="F328" s="228" t="s">
        <v>1</v>
      </c>
      <c r="G328" s="209">
        <v>128100</v>
      </c>
      <c r="H328" s="235">
        <f>G328*E328</f>
        <v>2369850</v>
      </c>
      <c r="I328" s="255"/>
      <c r="J328" s="231"/>
    </row>
    <row r="329" spans="1:13" s="232" customFormat="1" ht="15" customHeight="1">
      <c r="A329" s="360"/>
      <c r="B329" s="228" t="s">
        <v>6</v>
      </c>
      <c r="C329" s="238">
        <f t="shared" si="48"/>
        <v>4.329004329004329E-3</v>
      </c>
      <c r="D329" s="228">
        <v>231</v>
      </c>
      <c r="E329" s="233">
        <v>1</v>
      </c>
      <c r="F329" s="228" t="s">
        <v>1</v>
      </c>
      <c r="G329" s="234">
        <v>137550</v>
      </c>
      <c r="H329" s="235">
        <f>E329*G329-1892</f>
        <v>135658</v>
      </c>
      <c r="J329" s="256">
        <f>231*17000</f>
        <v>3927000</v>
      </c>
    </row>
    <row r="330" spans="1:13" s="232" customFormat="1" ht="15" customHeight="1">
      <c r="A330" s="360"/>
      <c r="B330" s="228" t="s">
        <v>7</v>
      </c>
      <c r="C330" s="257">
        <f t="shared" si="48"/>
        <v>0.5670995670995671</v>
      </c>
      <c r="D330" s="228">
        <v>231</v>
      </c>
      <c r="E330" s="258" t="s">
        <v>185</v>
      </c>
      <c r="F330" s="228" t="s">
        <v>1</v>
      </c>
      <c r="G330" s="234">
        <v>3510</v>
      </c>
      <c r="H330" s="235">
        <f>E330*G330</f>
        <v>459810</v>
      </c>
    </row>
    <row r="331" spans="1:13" s="232" customFormat="1" ht="15" customHeight="1">
      <c r="A331" s="360"/>
      <c r="B331" s="228" t="s">
        <v>187</v>
      </c>
      <c r="C331" s="257"/>
      <c r="D331" s="228"/>
      <c r="E331" s="258" t="s">
        <v>189</v>
      </c>
      <c r="F331" s="228" t="s">
        <v>188</v>
      </c>
      <c r="G331" s="234">
        <v>37800</v>
      </c>
      <c r="H331" s="235">
        <f>E331*G331</f>
        <v>75600</v>
      </c>
    </row>
    <row r="332" spans="1:13" s="232" customFormat="1" ht="15" customHeight="1">
      <c r="A332" s="360"/>
      <c r="B332" s="228" t="s">
        <v>94</v>
      </c>
      <c r="C332" s="257"/>
      <c r="D332" s="228"/>
      <c r="E332" s="258" t="s">
        <v>190</v>
      </c>
      <c r="F332" s="228" t="s">
        <v>1</v>
      </c>
      <c r="G332" s="234">
        <v>22050</v>
      </c>
      <c r="H332" s="235">
        <f t="shared" ref="H332:H334" si="49">E332*G332</f>
        <v>143325</v>
      </c>
      <c r="J332" s="256"/>
    </row>
    <row r="333" spans="1:13" s="232" customFormat="1" ht="15" customHeight="1">
      <c r="A333" s="360"/>
      <c r="B333" s="228" t="s">
        <v>41</v>
      </c>
      <c r="C333" s="238"/>
      <c r="D333" s="228"/>
      <c r="E333" s="258" t="s">
        <v>46</v>
      </c>
      <c r="F333" s="228" t="s">
        <v>4</v>
      </c>
      <c r="G333" s="234">
        <v>42000</v>
      </c>
      <c r="H333" s="235">
        <f t="shared" si="49"/>
        <v>4200</v>
      </c>
    </row>
    <row r="334" spans="1:13" s="232" customFormat="1" ht="15" customHeight="1">
      <c r="A334" s="249"/>
      <c r="B334" s="228" t="s">
        <v>12</v>
      </c>
      <c r="C334" s="240"/>
      <c r="D334" s="228"/>
      <c r="E334" s="237">
        <v>0.1</v>
      </c>
      <c r="F334" s="228" t="s">
        <v>1</v>
      </c>
      <c r="G334" s="234">
        <v>60900</v>
      </c>
      <c r="H334" s="235">
        <f t="shared" si="49"/>
        <v>6090</v>
      </c>
    </row>
    <row r="335" spans="1:13" s="232" customFormat="1" ht="15" customHeight="1">
      <c r="A335" s="248"/>
      <c r="B335" s="259" t="s">
        <v>25</v>
      </c>
      <c r="C335" s="259"/>
      <c r="D335" s="259"/>
      <c r="E335" s="260"/>
      <c r="F335" s="261"/>
      <c r="G335" s="259"/>
      <c r="H335" s="247">
        <f>136716+1661</f>
        <v>138377</v>
      </c>
      <c r="I335" s="232" t="s">
        <v>138</v>
      </c>
      <c r="J335" s="232" t="s">
        <v>67</v>
      </c>
      <c r="K335" s="232">
        <v>42000</v>
      </c>
      <c r="L335" s="262">
        <f>K335*0.1</f>
        <v>4200</v>
      </c>
      <c r="M335" s="263">
        <f>246750-136500</f>
        <v>110250</v>
      </c>
    </row>
    <row r="336" spans="1:13" s="155" customFormat="1" ht="19.8" customHeight="1">
      <c r="A336" s="222"/>
      <c r="B336" s="175"/>
      <c r="C336" s="175"/>
      <c r="D336" s="175"/>
      <c r="E336" s="223"/>
      <c r="F336" s="224"/>
      <c r="G336" s="175"/>
      <c r="H336" s="225">
        <f>SUM(H327:H335)</f>
        <v>3927000</v>
      </c>
      <c r="J336" s="183">
        <f>H336-J329</f>
        <v>0</v>
      </c>
      <c r="M336" s="134"/>
    </row>
    <row r="337" spans="1:8">
      <c r="A337" s="107"/>
      <c r="B337" s="107"/>
      <c r="C337" s="107"/>
      <c r="D337" s="107"/>
      <c r="E337" s="108"/>
    </row>
    <row r="338" spans="1:8" ht="18">
      <c r="A338" s="347" t="s">
        <v>28</v>
      </c>
      <c r="B338" s="347"/>
      <c r="C338" s="347" t="s">
        <v>29</v>
      </c>
      <c r="D338" s="347"/>
      <c r="E338" s="347"/>
      <c r="F338" s="1"/>
      <c r="G338" s="347" t="s">
        <v>30</v>
      </c>
      <c r="H338" s="347"/>
    </row>
    <row r="379" spans="1:10" ht="15.6">
      <c r="A379" s="6" t="s">
        <v>0</v>
      </c>
      <c r="B379" s="6"/>
    </row>
    <row r="380" spans="1:10" s="110" customFormat="1" ht="16.8" customHeight="1">
      <c r="A380" s="347" t="s">
        <v>150</v>
      </c>
      <c r="B380" s="347"/>
      <c r="C380" s="347"/>
      <c r="D380" s="347"/>
      <c r="E380" s="347"/>
      <c r="F380" s="347"/>
      <c r="G380" s="347"/>
      <c r="H380" s="347"/>
      <c r="I380" s="181">
        <f>1996200/15</f>
        <v>133080</v>
      </c>
    </row>
    <row r="381" spans="1:10" s="110" customFormat="1" ht="16.8" customHeight="1">
      <c r="A381" s="109"/>
      <c r="B381" s="348" t="s">
        <v>167</v>
      </c>
      <c r="C381" s="348"/>
      <c r="D381" s="348"/>
      <c r="E381" s="348"/>
      <c r="F381" s="348"/>
      <c r="G381" s="348"/>
      <c r="H381" s="348"/>
    </row>
    <row r="382" spans="1:10" s="117" customFormat="1" ht="15" customHeight="1">
      <c r="A382" s="349" t="s">
        <v>166</v>
      </c>
      <c r="B382" s="113" t="s">
        <v>22</v>
      </c>
      <c r="C382" s="140">
        <f>E382/D382</f>
        <v>0.11877729257641921</v>
      </c>
      <c r="D382" s="38">
        <v>229</v>
      </c>
      <c r="E382" s="186" t="s">
        <v>65</v>
      </c>
      <c r="F382" s="113" t="s">
        <v>1</v>
      </c>
      <c r="G382" s="141">
        <v>21525</v>
      </c>
      <c r="H382" s="115">
        <f>E382*G382</f>
        <v>585480</v>
      </c>
      <c r="I382" s="182" t="e">
        <f>H381-#REF!</f>
        <v>#REF!</v>
      </c>
      <c r="J382" s="128"/>
    </row>
    <row r="383" spans="1:10" s="117" customFormat="1" ht="15" customHeight="1">
      <c r="A383" s="350"/>
      <c r="B383" s="38" t="s">
        <v>87</v>
      </c>
      <c r="C383" s="142">
        <f t="shared" ref="C383:C384" si="50">E383/D383</f>
        <v>7.0742358078602616E-2</v>
      </c>
      <c r="D383" s="38">
        <v>229</v>
      </c>
      <c r="E383" s="143">
        <v>16.2</v>
      </c>
      <c r="F383" s="38" t="s">
        <v>1</v>
      </c>
      <c r="G383" s="120">
        <v>130200</v>
      </c>
      <c r="H383" s="121">
        <f>E383*G383-1892</f>
        <v>2107348</v>
      </c>
      <c r="J383" s="124">
        <f>232*17000</f>
        <v>3944000</v>
      </c>
    </row>
    <row r="384" spans="1:10" s="117" customFormat="1" ht="15" customHeight="1">
      <c r="A384" s="350"/>
      <c r="B384" s="38" t="s">
        <v>36</v>
      </c>
      <c r="C384" s="144">
        <f t="shared" si="50"/>
        <v>3.1004366812227072E-2</v>
      </c>
      <c r="D384" s="38">
        <v>229</v>
      </c>
      <c r="E384" s="119" t="s">
        <v>126</v>
      </c>
      <c r="F384" s="38" t="s">
        <v>1</v>
      </c>
      <c r="G384" s="120">
        <v>67200</v>
      </c>
      <c r="H384" s="121">
        <f>E384*G384</f>
        <v>477120</v>
      </c>
      <c r="I384" s="123">
        <f>225*17000</f>
        <v>3825000</v>
      </c>
    </row>
    <row r="385" spans="1:13" s="117" customFormat="1" ht="15" customHeight="1">
      <c r="A385" s="350"/>
      <c r="B385" s="38" t="s">
        <v>78</v>
      </c>
      <c r="C385" s="144"/>
      <c r="D385" s="38"/>
      <c r="E385" s="119" t="s">
        <v>48</v>
      </c>
      <c r="F385" s="38" t="s">
        <v>1</v>
      </c>
      <c r="G385" s="120">
        <v>78750</v>
      </c>
      <c r="H385" s="121">
        <f t="shared" ref="H385:H389" si="51">E385*G385</f>
        <v>236250</v>
      </c>
    </row>
    <row r="386" spans="1:13" s="117" customFormat="1" ht="15" customHeight="1">
      <c r="A386" s="350"/>
      <c r="B386" s="38" t="s">
        <v>79</v>
      </c>
      <c r="C386" s="144"/>
      <c r="D386" s="38"/>
      <c r="E386" s="119" t="s">
        <v>80</v>
      </c>
      <c r="F386" s="38" t="s">
        <v>4</v>
      </c>
      <c r="G386" s="120">
        <v>20478</v>
      </c>
      <c r="H386" s="121">
        <f t="shared" si="51"/>
        <v>266214</v>
      </c>
    </row>
    <row r="387" spans="1:13" s="117" customFormat="1" ht="15" customHeight="1">
      <c r="A387" s="351"/>
      <c r="B387" s="38" t="s">
        <v>81</v>
      </c>
      <c r="C387" s="38"/>
      <c r="D387" s="38"/>
      <c r="E387" s="119" t="s">
        <v>46</v>
      </c>
      <c r="F387" s="38" t="s">
        <v>1</v>
      </c>
      <c r="G387" s="120">
        <v>63000</v>
      </c>
      <c r="H387" s="121">
        <f t="shared" si="51"/>
        <v>6300</v>
      </c>
    </row>
    <row r="388" spans="1:13" s="117" customFormat="1" ht="15" customHeight="1">
      <c r="A388" s="351"/>
      <c r="B388" s="38" t="s">
        <v>66</v>
      </c>
      <c r="C388" s="146"/>
      <c r="D388" s="38"/>
      <c r="E388" s="119" t="s">
        <v>46</v>
      </c>
      <c r="F388" s="38" t="s">
        <v>1</v>
      </c>
      <c r="G388" s="120">
        <v>60900</v>
      </c>
      <c r="H388" s="121">
        <f t="shared" si="51"/>
        <v>6090</v>
      </c>
    </row>
    <row r="389" spans="1:13" s="148" customFormat="1" ht="15" customHeight="1">
      <c r="A389" s="351"/>
      <c r="B389" s="38" t="s">
        <v>82</v>
      </c>
      <c r="C389" s="125"/>
      <c r="D389" s="125"/>
      <c r="E389" s="119" t="s">
        <v>57</v>
      </c>
      <c r="F389" s="38" t="s">
        <v>1</v>
      </c>
      <c r="G389" s="120">
        <v>42000</v>
      </c>
      <c r="H389" s="121">
        <f t="shared" si="51"/>
        <v>8400</v>
      </c>
      <c r="I389" s="147" t="e">
        <f>H392-#REF!</f>
        <v>#REF!</v>
      </c>
      <c r="M389" s="117"/>
    </row>
    <row r="390" spans="1:13" s="117" customFormat="1" ht="15" customHeight="1">
      <c r="A390" s="145"/>
      <c r="B390" s="125" t="s">
        <v>25</v>
      </c>
      <c r="C390" s="125"/>
      <c r="D390" s="125"/>
      <c r="E390" s="126"/>
      <c r="F390" s="127"/>
      <c r="G390" s="125"/>
      <c r="H390" s="133">
        <f>133080-1282</f>
        <v>131798</v>
      </c>
      <c r="I390" s="134" t="s">
        <v>138</v>
      </c>
      <c r="J390" s="117" t="s">
        <v>67</v>
      </c>
      <c r="K390" s="117">
        <v>42000</v>
      </c>
      <c r="L390" s="135">
        <f>K390*0.1</f>
        <v>4200</v>
      </c>
      <c r="M390" s="123">
        <f>246750-136500</f>
        <v>110250</v>
      </c>
    </row>
    <row r="391" spans="1:13" s="148" customFormat="1" ht="18.600000000000001" customHeight="1">
      <c r="A391" s="149"/>
      <c r="B391" s="150"/>
      <c r="C391" s="151"/>
      <c r="D391" s="151"/>
      <c r="E391" s="152"/>
      <c r="F391" s="153"/>
      <c r="G391" s="150"/>
      <c r="H391" s="154">
        <f>SUM(H382:H390)</f>
        <v>3825000</v>
      </c>
      <c r="I391" s="183">
        <f>H391-I394</f>
        <v>3825000</v>
      </c>
      <c r="L391" s="156"/>
      <c r="M391" s="157"/>
    </row>
    <row r="392" spans="1:13">
      <c r="I392" s="51">
        <f>I391-I384</f>
        <v>0</v>
      </c>
    </row>
    <row r="393" spans="1:13" ht="18">
      <c r="A393" s="347" t="s">
        <v>28</v>
      </c>
      <c r="B393" s="347"/>
      <c r="C393" s="347" t="s">
        <v>29</v>
      </c>
      <c r="D393" s="347"/>
      <c r="E393" s="347"/>
      <c r="F393" s="1"/>
      <c r="G393" s="347" t="s">
        <v>30</v>
      </c>
      <c r="H393" s="347"/>
    </row>
    <row r="433" spans="1:20" ht="15.6">
      <c r="A433" s="6" t="s">
        <v>0</v>
      </c>
      <c r="B433" s="6"/>
    </row>
    <row r="434" spans="1:20" s="110" customFormat="1" ht="16.8" customHeight="1">
      <c r="A434" s="347" t="s">
        <v>150</v>
      </c>
      <c r="B434" s="347"/>
      <c r="C434" s="347"/>
      <c r="D434" s="347"/>
      <c r="E434" s="347"/>
      <c r="F434" s="347"/>
      <c r="G434" s="347"/>
      <c r="H434" s="347"/>
      <c r="I434" s="181">
        <f>1996200/15</f>
        <v>133080</v>
      </c>
    </row>
    <row r="435" spans="1:20" s="110" customFormat="1" ht="16.8" customHeight="1">
      <c r="A435" s="109"/>
      <c r="B435" s="348" t="s">
        <v>151</v>
      </c>
      <c r="C435" s="348"/>
      <c r="D435" s="348"/>
      <c r="E435" s="348"/>
      <c r="F435" s="348"/>
      <c r="G435" s="348"/>
      <c r="H435" s="348"/>
    </row>
    <row r="436" spans="1:20" ht="15" customHeight="1">
      <c r="A436" s="7" t="s">
        <v>15</v>
      </c>
      <c r="B436" s="8" t="s">
        <v>16</v>
      </c>
      <c r="C436" s="9" t="s">
        <v>17</v>
      </c>
      <c r="D436" s="10" t="s">
        <v>18</v>
      </c>
      <c r="E436" s="45" t="s">
        <v>19</v>
      </c>
      <c r="F436" s="11" t="s">
        <v>5</v>
      </c>
      <c r="G436" s="7" t="s">
        <v>20</v>
      </c>
      <c r="H436" s="7" t="s">
        <v>21</v>
      </c>
      <c r="K436">
        <f>225*17000</f>
        <v>3825000</v>
      </c>
      <c r="L436" t="s">
        <v>33</v>
      </c>
      <c r="N436" s="12" t="s">
        <v>22</v>
      </c>
      <c r="O436" s="92">
        <f>Q436/P436</f>
        <v>0.11931330472103005</v>
      </c>
      <c r="P436" s="17">
        <v>233</v>
      </c>
      <c r="Q436" s="53" t="s">
        <v>108</v>
      </c>
      <c r="R436" s="12" t="s">
        <v>1</v>
      </c>
      <c r="S436" s="13">
        <v>21525</v>
      </c>
      <c r="T436" s="14">
        <f>Q436*S436</f>
        <v>598395</v>
      </c>
    </row>
    <row r="437" spans="1:20" s="117" customFormat="1" ht="15" customHeight="1">
      <c r="A437" s="356" t="s">
        <v>155</v>
      </c>
      <c r="B437" s="111" t="s">
        <v>11</v>
      </c>
      <c r="C437" s="112">
        <f>E437/D437</f>
        <v>0.11904761904761904</v>
      </c>
      <c r="D437" s="38">
        <v>231</v>
      </c>
      <c r="E437" s="184">
        <v>27.5</v>
      </c>
      <c r="F437" s="113" t="s">
        <v>1</v>
      </c>
      <c r="G437" s="114">
        <v>21525</v>
      </c>
      <c r="H437" s="115">
        <f>E437*G437</f>
        <v>591937.5</v>
      </c>
      <c r="I437" s="116"/>
      <c r="N437" s="38" t="s">
        <v>6</v>
      </c>
      <c r="O437" s="118">
        <f>Q437/P437</f>
        <v>6.5236051502145925E-2</v>
      </c>
      <c r="P437" s="38">
        <v>233</v>
      </c>
      <c r="Q437" s="119" t="s">
        <v>124</v>
      </c>
      <c r="R437" s="38" t="s">
        <v>1</v>
      </c>
      <c r="S437" s="120">
        <v>136500</v>
      </c>
      <c r="T437" s="121">
        <f>Q437*S437</f>
        <v>2074800</v>
      </c>
    </row>
    <row r="438" spans="1:20" s="117" customFormat="1" ht="15" customHeight="1">
      <c r="A438" s="357"/>
      <c r="B438" s="38" t="s">
        <v>42</v>
      </c>
      <c r="C438" s="38">
        <f>E438/D438</f>
        <v>5.8008658008658009E-2</v>
      </c>
      <c r="D438" s="38">
        <v>231</v>
      </c>
      <c r="E438" s="163">
        <v>13.4</v>
      </c>
      <c r="F438" s="38" t="s">
        <v>1</v>
      </c>
      <c r="G438" s="120">
        <v>172800</v>
      </c>
      <c r="H438" s="121">
        <f>E438*G438</f>
        <v>2315520</v>
      </c>
      <c r="I438" s="124">
        <f>231*17000</f>
        <v>3927000</v>
      </c>
      <c r="N438" s="38" t="s">
        <v>34</v>
      </c>
      <c r="O438" s="118">
        <f t="shared" ref="O438:O439" si="52">Q438/P438</f>
        <v>3.004291845493562E-3</v>
      </c>
      <c r="P438" s="38">
        <v>233</v>
      </c>
      <c r="Q438" s="119" t="s">
        <v>35</v>
      </c>
      <c r="R438" s="38" t="s">
        <v>1</v>
      </c>
      <c r="S438" s="120">
        <v>306600</v>
      </c>
      <c r="T438" s="121">
        <f>Q438*S438</f>
        <v>214620</v>
      </c>
    </row>
    <row r="439" spans="1:20" s="117" customFormat="1" ht="15" customHeight="1">
      <c r="A439" s="358"/>
      <c r="B439" s="38" t="s">
        <v>43</v>
      </c>
      <c r="C439" s="38">
        <f t="shared" ref="C439:C441" si="53">E439/D439</f>
        <v>0.56277056277056281</v>
      </c>
      <c r="D439" s="38">
        <v>231</v>
      </c>
      <c r="E439" s="163">
        <v>130</v>
      </c>
      <c r="F439" s="38" t="s">
        <v>1</v>
      </c>
      <c r="G439" s="120">
        <v>3456</v>
      </c>
      <c r="H439" s="121">
        <f t="shared" ref="H439:H445" si="54">E439*G439</f>
        <v>449280</v>
      </c>
      <c r="J439" s="117" t="s">
        <v>71</v>
      </c>
      <c r="K439" s="117">
        <v>22050</v>
      </c>
      <c r="L439" s="123">
        <f>K439*5</f>
        <v>110250</v>
      </c>
      <c r="M439" s="117" t="s">
        <v>88</v>
      </c>
      <c r="N439" s="38" t="s">
        <v>36</v>
      </c>
      <c r="O439" s="118">
        <f t="shared" si="52"/>
        <v>3.733905579399141E-2</v>
      </c>
      <c r="P439" s="38">
        <v>233</v>
      </c>
      <c r="Q439" s="119" t="s">
        <v>112</v>
      </c>
      <c r="R439" s="38" t="s">
        <v>1</v>
      </c>
      <c r="S439" s="120">
        <v>67200</v>
      </c>
      <c r="T439" s="121">
        <f>Q439*S439</f>
        <v>584640</v>
      </c>
    </row>
    <row r="440" spans="1:20" s="117" customFormat="1" ht="15" customHeight="1">
      <c r="A440" s="358"/>
      <c r="B440" s="38" t="s">
        <v>44</v>
      </c>
      <c r="C440" s="38">
        <f t="shared" si="53"/>
        <v>2.1645021645021644E-2</v>
      </c>
      <c r="D440" s="38">
        <v>231</v>
      </c>
      <c r="E440" s="163">
        <v>5</v>
      </c>
      <c r="F440" s="38" t="s">
        <v>1</v>
      </c>
      <c r="G440" s="120">
        <v>23100</v>
      </c>
      <c r="H440" s="121">
        <f t="shared" si="54"/>
        <v>115500</v>
      </c>
      <c r="J440" s="117" t="s">
        <v>39</v>
      </c>
      <c r="K440" s="117" t="s">
        <v>40</v>
      </c>
      <c r="L440" s="123">
        <f>136500*1</f>
        <v>136500</v>
      </c>
      <c r="N440" s="38" t="s">
        <v>72</v>
      </c>
      <c r="O440" s="38"/>
      <c r="P440" s="38">
        <v>233</v>
      </c>
      <c r="Q440" s="119"/>
      <c r="R440" s="38" t="s">
        <v>27</v>
      </c>
      <c r="S440" s="120">
        <v>1450</v>
      </c>
      <c r="T440" s="121">
        <f>184800+136500</f>
        <v>321300</v>
      </c>
    </row>
    <row r="441" spans="1:20" s="117" customFormat="1" ht="15" customHeight="1">
      <c r="A441" s="358"/>
      <c r="B441" s="38" t="s">
        <v>13</v>
      </c>
      <c r="C441" s="38">
        <f t="shared" si="53"/>
        <v>4.329004329004329E-3</v>
      </c>
      <c r="D441" s="38">
        <v>231</v>
      </c>
      <c r="E441" s="163">
        <v>1</v>
      </c>
      <c r="F441" s="38" t="s">
        <v>1</v>
      </c>
      <c r="G441" s="120">
        <v>164850</v>
      </c>
      <c r="H441" s="121">
        <f t="shared" si="54"/>
        <v>164850</v>
      </c>
      <c r="I441" s="124">
        <f>233*17000</f>
        <v>3961000</v>
      </c>
      <c r="J441" s="117" t="s">
        <v>66</v>
      </c>
      <c r="K441" s="117">
        <v>60900</v>
      </c>
      <c r="L441" s="123">
        <f>K441*0.1</f>
        <v>6090</v>
      </c>
      <c r="N441" s="125" t="s">
        <v>25</v>
      </c>
      <c r="O441" s="125"/>
      <c r="P441" s="125"/>
      <c r="Q441" s="126"/>
      <c r="R441" s="127"/>
      <c r="S441" s="125"/>
      <c r="T441" s="121">
        <v>136716</v>
      </c>
    </row>
    <row r="442" spans="1:20" s="117" customFormat="1" ht="15" customHeight="1">
      <c r="A442" s="358"/>
      <c r="B442" s="38" t="s">
        <v>119</v>
      </c>
      <c r="C442" s="38"/>
      <c r="D442" s="38">
        <v>231</v>
      </c>
      <c r="E442" s="163">
        <v>5.6</v>
      </c>
      <c r="F442" s="38" t="s">
        <v>1</v>
      </c>
      <c r="G442" s="120">
        <v>18900</v>
      </c>
      <c r="H442" s="121">
        <f t="shared" si="54"/>
        <v>105840</v>
      </c>
      <c r="I442" s="128">
        <f>H447-I438</f>
        <v>-19702.5</v>
      </c>
      <c r="L442" s="123"/>
      <c r="N442" s="129"/>
      <c r="O442" s="129"/>
      <c r="P442" s="129"/>
      <c r="Q442" s="130"/>
      <c r="R442" s="131"/>
      <c r="S442" s="129"/>
      <c r="T442" s="132"/>
    </row>
    <row r="443" spans="1:20" s="117" customFormat="1" ht="15" customHeight="1">
      <c r="A443" s="358"/>
      <c r="B443" s="38" t="s">
        <v>14</v>
      </c>
      <c r="C443" s="38"/>
      <c r="D443" s="38">
        <v>231</v>
      </c>
      <c r="E443" s="163">
        <v>1</v>
      </c>
      <c r="F443" s="38" t="s">
        <v>1</v>
      </c>
      <c r="G443" s="120">
        <v>21000</v>
      </c>
      <c r="H443" s="121">
        <f t="shared" si="54"/>
        <v>21000</v>
      </c>
      <c r="I443" s="128"/>
      <c r="L443" s="123"/>
      <c r="N443" s="129"/>
      <c r="O443" s="129"/>
      <c r="P443" s="129"/>
      <c r="Q443" s="130"/>
      <c r="R443" s="131"/>
      <c r="S443" s="129"/>
      <c r="T443" s="132"/>
    </row>
    <row r="444" spans="1:20" s="117" customFormat="1" ht="15" customHeight="1">
      <c r="A444" s="358"/>
      <c r="B444" s="38" t="s">
        <v>12</v>
      </c>
      <c r="C444" s="38"/>
      <c r="D444" s="38">
        <v>231</v>
      </c>
      <c r="E444" s="163">
        <v>0.1</v>
      </c>
      <c r="F444" s="38" t="s">
        <v>1</v>
      </c>
      <c r="G444" s="120">
        <v>60900</v>
      </c>
      <c r="H444" s="121">
        <f t="shared" si="54"/>
        <v>6090</v>
      </c>
      <c r="L444" s="123"/>
      <c r="N444" s="129"/>
      <c r="O444" s="129"/>
      <c r="P444" s="129"/>
      <c r="Q444" s="130"/>
      <c r="R444" s="131"/>
      <c r="S444" s="129"/>
      <c r="T444" s="132"/>
    </row>
    <row r="445" spans="1:20" s="117" customFormat="1" ht="15" customHeight="1">
      <c r="A445" s="358"/>
      <c r="B445" s="38" t="s">
        <v>41</v>
      </c>
      <c r="C445" s="38"/>
      <c r="D445" s="38">
        <v>231</v>
      </c>
      <c r="E445" s="185">
        <v>0.1</v>
      </c>
      <c r="F445" s="38" t="s">
        <v>1</v>
      </c>
      <c r="G445" s="120">
        <v>42000</v>
      </c>
      <c r="H445" s="121">
        <f t="shared" si="54"/>
        <v>4200</v>
      </c>
      <c r="L445" s="123"/>
      <c r="N445" s="129"/>
      <c r="O445" s="129"/>
      <c r="P445" s="129"/>
      <c r="Q445" s="130"/>
      <c r="R445" s="131"/>
      <c r="S445" s="129"/>
      <c r="T445" s="132"/>
    </row>
    <row r="446" spans="1:20" s="117" customFormat="1" ht="15" customHeight="1">
      <c r="A446" s="358"/>
      <c r="B446" s="125" t="s">
        <v>25</v>
      </c>
      <c r="C446" s="125"/>
      <c r="D446" s="125"/>
      <c r="E446" s="126"/>
      <c r="F446" s="127"/>
      <c r="G446" s="125"/>
      <c r="H446" s="133">
        <v>133080</v>
      </c>
      <c r="I446" s="134" t="s">
        <v>138</v>
      </c>
      <c r="J446" s="117" t="s">
        <v>67</v>
      </c>
      <c r="K446" s="117">
        <v>42000</v>
      </c>
      <c r="L446" s="135">
        <f>K446*0.1</f>
        <v>4200</v>
      </c>
      <c r="M446" s="123">
        <f>246750-136500</f>
        <v>110250</v>
      </c>
    </row>
    <row r="447" spans="1:20" s="117" customFormat="1" ht="22.2" customHeight="1">
      <c r="A447" s="359"/>
      <c r="B447" s="361"/>
      <c r="C447" s="362"/>
      <c r="D447" s="362"/>
      <c r="E447" s="362"/>
      <c r="F447" s="362"/>
      <c r="G447" s="363"/>
      <c r="H447" s="139">
        <f>SUM(H437:H446)</f>
        <v>3907297.5</v>
      </c>
      <c r="J447" s="117" t="s">
        <v>114</v>
      </c>
      <c r="K447" s="128">
        <v>68040</v>
      </c>
      <c r="L447" s="128">
        <f>0.1*K447</f>
        <v>6804</v>
      </c>
    </row>
    <row r="448" spans="1:20" s="117" customFormat="1" ht="15" customHeight="1">
      <c r="A448" s="349" t="s">
        <v>156</v>
      </c>
      <c r="B448" s="113" t="s">
        <v>22</v>
      </c>
      <c r="C448" s="140">
        <f>E448/D448</f>
        <v>0.11956521739130435</v>
      </c>
      <c r="D448" s="38">
        <v>230</v>
      </c>
      <c r="E448" s="186" t="s">
        <v>161</v>
      </c>
      <c r="F448" s="113" t="s">
        <v>1</v>
      </c>
      <c r="G448" s="141">
        <v>21525</v>
      </c>
      <c r="H448" s="115">
        <f>E448*G448</f>
        <v>591937.5</v>
      </c>
      <c r="I448" s="182">
        <f>H447-I438</f>
        <v>-19702.5</v>
      </c>
      <c r="J448" s="128"/>
    </row>
    <row r="449" spans="1:13" s="117" customFormat="1" ht="15" customHeight="1">
      <c r="A449" s="350"/>
      <c r="B449" s="38" t="s">
        <v>87</v>
      </c>
      <c r="C449" s="142">
        <f t="shared" ref="C449:C450" si="55">E449/D449</f>
        <v>7.2608695652173913E-2</v>
      </c>
      <c r="D449" s="38">
        <v>230</v>
      </c>
      <c r="E449" s="143">
        <v>16.7</v>
      </c>
      <c r="F449" s="38" t="s">
        <v>1</v>
      </c>
      <c r="G449" s="120">
        <v>130200</v>
      </c>
      <c r="H449" s="121">
        <f>E449*G449-1892</f>
        <v>2172448</v>
      </c>
      <c r="J449" s="124">
        <f>232*17000</f>
        <v>3944000</v>
      </c>
    </row>
    <row r="450" spans="1:13" s="117" customFormat="1" ht="15" customHeight="1">
      <c r="A450" s="350"/>
      <c r="B450" s="38" t="s">
        <v>36</v>
      </c>
      <c r="C450" s="144">
        <f t="shared" si="55"/>
        <v>3.173913043478261E-2</v>
      </c>
      <c r="D450" s="38">
        <v>230</v>
      </c>
      <c r="E450" s="119" t="s">
        <v>152</v>
      </c>
      <c r="F450" s="38" t="s">
        <v>1</v>
      </c>
      <c r="G450" s="120">
        <v>67200</v>
      </c>
      <c r="H450" s="121">
        <f>E450*G450</f>
        <v>490560</v>
      </c>
    </row>
    <row r="451" spans="1:13" s="117" customFormat="1" ht="15" customHeight="1">
      <c r="A451" s="350"/>
      <c r="B451" s="38" t="s">
        <v>78</v>
      </c>
      <c r="C451" s="144"/>
      <c r="D451" s="38"/>
      <c r="E451" s="119" t="s">
        <v>48</v>
      </c>
      <c r="F451" s="38" t="s">
        <v>1</v>
      </c>
      <c r="G451" s="120">
        <v>78750</v>
      </c>
      <c r="H451" s="121">
        <f t="shared" ref="H451:H455" si="56">E451*G451</f>
        <v>236250</v>
      </c>
    </row>
    <row r="452" spans="1:13" s="117" customFormat="1" ht="15" customHeight="1">
      <c r="A452" s="350"/>
      <c r="B452" s="38" t="s">
        <v>79</v>
      </c>
      <c r="C452" s="144"/>
      <c r="D452" s="38"/>
      <c r="E452" s="119" t="s">
        <v>162</v>
      </c>
      <c r="F452" s="38" t="s">
        <v>4</v>
      </c>
      <c r="G452" s="120">
        <v>20478</v>
      </c>
      <c r="H452" s="121">
        <f t="shared" si="56"/>
        <v>268261.8</v>
      </c>
    </row>
    <row r="453" spans="1:13" s="117" customFormat="1" ht="15" customHeight="1">
      <c r="A453" s="351"/>
      <c r="B453" s="38" t="s">
        <v>81</v>
      </c>
      <c r="C453" s="38"/>
      <c r="D453" s="38"/>
      <c r="E453" s="119" t="s">
        <v>46</v>
      </c>
      <c r="F453" s="38" t="s">
        <v>1</v>
      </c>
      <c r="G453" s="120">
        <v>63000</v>
      </c>
      <c r="H453" s="121">
        <f t="shared" si="56"/>
        <v>6300</v>
      </c>
    </row>
    <row r="454" spans="1:13" s="117" customFormat="1" ht="15" customHeight="1">
      <c r="A454" s="351"/>
      <c r="B454" s="38" t="s">
        <v>66</v>
      </c>
      <c r="C454" s="146"/>
      <c r="D454" s="38"/>
      <c r="E454" s="119" t="s">
        <v>46</v>
      </c>
      <c r="F454" s="38" t="s">
        <v>1</v>
      </c>
      <c r="G454" s="120">
        <v>60900</v>
      </c>
      <c r="H454" s="121">
        <f t="shared" si="56"/>
        <v>6090</v>
      </c>
    </row>
    <row r="455" spans="1:13" s="148" customFormat="1" ht="15" customHeight="1">
      <c r="A455" s="351"/>
      <c r="B455" s="38" t="s">
        <v>82</v>
      </c>
      <c r="C455" s="125"/>
      <c r="D455" s="125"/>
      <c r="E455" s="119" t="s">
        <v>46</v>
      </c>
      <c r="F455" s="38" t="s">
        <v>1</v>
      </c>
      <c r="G455" s="120">
        <v>42000</v>
      </c>
      <c r="H455" s="121">
        <f t="shared" si="56"/>
        <v>4200</v>
      </c>
      <c r="I455" s="147" t="e">
        <f>H458-#REF!</f>
        <v>#REF!</v>
      </c>
      <c r="M455" s="117"/>
    </row>
    <row r="456" spans="1:13" s="117" customFormat="1" ht="15" customHeight="1">
      <c r="A456" s="145"/>
      <c r="B456" s="125" t="s">
        <v>25</v>
      </c>
      <c r="C456" s="125"/>
      <c r="D456" s="125"/>
      <c r="E456" s="126"/>
      <c r="F456" s="127"/>
      <c r="G456" s="125"/>
      <c r="H456" s="133">
        <f>133080+873</f>
        <v>133953</v>
      </c>
      <c r="I456" s="134" t="s">
        <v>138</v>
      </c>
      <c r="J456" s="117" t="s">
        <v>67</v>
      </c>
      <c r="K456" s="117">
        <v>42000</v>
      </c>
      <c r="L456" s="135">
        <f>K456*0.1</f>
        <v>4200</v>
      </c>
      <c r="M456" s="123">
        <f>246750-136500</f>
        <v>110250</v>
      </c>
    </row>
    <row r="457" spans="1:13" s="148" customFormat="1" ht="18.600000000000001" customHeight="1">
      <c r="A457" s="149"/>
      <c r="B457" s="150"/>
      <c r="C457" s="151"/>
      <c r="D457" s="151"/>
      <c r="E457" s="152"/>
      <c r="F457" s="153"/>
      <c r="G457" s="150"/>
      <c r="H457" s="154">
        <f>SUM(H448:H456)</f>
        <v>3910000.3</v>
      </c>
      <c r="I457" s="183">
        <f>H457-I460</f>
        <v>17000.299999999814</v>
      </c>
      <c r="L457" s="156"/>
      <c r="M457" s="157"/>
    </row>
    <row r="458" spans="1:13" s="117" customFormat="1" ht="15" customHeight="1">
      <c r="A458" s="122"/>
      <c r="B458" s="113" t="s">
        <v>22</v>
      </c>
      <c r="C458" s="140">
        <f>E458/D458</f>
        <v>0.11965065502183406</v>
      </c>
      <c r="D458" s="159">
        <v>229</v>
      </c>
      <c r="E458" s="187" t="s">
        <v>163</v>
      </c>
      <c r="F458" s="160" t="s">
        <v>1</v>
      </c>
      <c r="G458" s="141">
        <v>21525</v>
      </c>
      <c r="H458" s="161">
        <f>E458*G458</f>
        <v>589785</v>
      </c>
      <c r="K458" s="128"/>
      <c r="L458" s="128"/>
    </row>
    <row r="459" spans="1:13" s="117" customFormat="1" ht="15" customHeight="1">
      <c r="A459" s="350" t="s">
        <v>157</v>
      </c>
      <c r="B459" s="162" t="s">
        <v>144</v>
      </c>
      <c r="C459" s="142">
        <f>E459/D459</f>
        <v>5.8515283842794759E-2</v>
      </c>
      <c r="D459" s="164">
        <v>229</v>
      </c>
      <c r="E459" s="188" t="s">
        <v>164</v>
      </c>
      <c r="F459" s="38" t="s">
        <v>1</v>
      </c>
      <c r="G459" s="165">
        <v>162000</v>
      </c>
      <c r="H459" s="121">
        <f t="shared" ref="H459:H464" si="57">E459*G459</f>
        <v>2170800</v>
      </c>
      <c r="K459" s="128"/>
      <c r="L459" s="128"/>
    </row>
    <row r="460" spans="1:13" s="117" customFormat="1" ht="15" customHeight="1">
      <c r="A460" s="350"/>
      <c r="B460" s="162" t="s">
        <v>53</v>
      </c>
      <c r="C460" s="142">
        <f t="shared" ref="C460:C461" si="58">E460/D460</f>
        <v>3.4934497816593885E-2</v>
      </c>
      <c r="D460" s="164">
        <v>229</v>
      </c>
      <c r="E460" s="188" t="s">
        <v>23</v>
      </c>
      <c r="F460" s="38" t="s">
        <v>1</v>
      </c>
      <c r="G460" s="165">
        <v>89250</v>
      </c>
      <c r="H460" s="121">
        <f t="shared" si="57"/>
        <v>714000</v>
      </c>
      <c r="I460" s="124">
        <f>229*17000</f>
        <v>3893000</v>
      </c>
      <c r="J460" s="128">
        <f>H456*15</f>
        <v>2009295</v>
      </c>
      <c r="K460" s="128"/>
      <c r="L460" s="128"/>
    </row>
    <row r="461" spans="1:13" s="117" customFormat="1" ht="15" customHeight="1">
      <c r="A461" s="350"/>
      <c r="B461" s="38" t="s">
        <v>153</v>
      </c>
      <c r="C461" s="142">
        <f t="shared" si="58"/>
        <v>4.3668122270742356E-3</v>
      </c>
      <c r="D461" s="166">
        <v>229</v>
      </c>
      <c r="E461" s="163">
        <v>1</v>
      </c>
      <c r="F461" s="38" t="s">
        <v>4</v>
      </c>
      <c r="G461" s="120">
        <v>137550</v>
      </c>
      <c r="H461" s="121">
        <f t="shared" si="57"/>
        <v>137550</v>
      </c>
      <c r="K461" s="128"/>
      <c r="L461" s="128"/>
    </row>
    <row r="462" spans="1:13" s="117" customFormat="1" ht="15" customHeight="1">
      <c r="A462" s="350"/>
      <c r="B462" s="38" t="s">
        <v>55</v>
      </c>
      <c r="C462" s="163"/>
      <c r="D462" s="166"/>
      <c r="E462" s="163">
        <v>0.1</v>
      </c>
      <c r="F462" s="38" t="s">
        <v>4</v>
      </c>
      <c r="G462" s="120">
        <v>42000</v>
      </c>
      <c r="H462" s="121">
        <f t="shared" si="57"/>
        <v>4200</v>
      </c>
      <c r="K462" s="128"/>
      <c r="L462" s="128"/>
    </row>
    <row r="463" spans="1:13" s="117" customFormat="1" ht="15" customHeight="1">
      <c r="A463" s="350"/>
      <c r="B463" s="162" t="s">
        <v>154</v>
      </c>
      <c r="C463" s="163"/>
      <c r="D463" s="166"/>
      <c r="E463" s="185">
        <v>7.3</v>
      </c>
      <c r="F463" s="38" t="s">
        <v>1</v>
      </c>
      <c r="G463" s="120">
        <v>18900</v>
      </c>
      <c r="H463" s="121">
        <f t="shared" si="57"/>
        <v>137970</v>
      </c>
      <c r="K463" s="128"/>
      <c r="L463" s="128"/>
    </row>
    <row r="464" spans="1:13" s="117" customFormat="1" ht="15" customHeight="1">
      <c r="A464" s="350"/>
      <c r="B464" s="38" t="s">
        <v>66</v>
      </c>
      <c r="C464" s="146"/>
      <c r="D464" s="38"/>
      <c r="E464" s="119" t="s">
        <v>46</v>
      </c>
      <c r="F464" s="38" t="s">
        <v>1</v>
      </c>
      <c r="G464" s="120">
        <v>60900</v>
      </c>
      <c r="H464" s="121">
        <f t="shared" si="57"/>
        <v>6090</v>
      </c>
      <c r="K464" s="128"/>
      <c r="L464" s="128"/>
    </row>
    <row r="465" spans="1:12" s="117" customFormat="1" ht="15" customHeight="1">
      <c r="A465" s="351"/>
      <c r="B465" s="167" t="s">
        <v>25</v>
      </c>
      <c r="C465" s="146"/>
      <c r="D465" s="168"/>
      <c r="E465" s="169"/>
      <c r="F465" s="164" t="s">
        <v>1</v>
      </c>
      <c r="G465" s="120"/>
      <c r="H465" s="121">
        <f>133080-475</f>
        <v>132605</v>
      </c>
      <c r="I465" s="134" t="s">
        <v>138</v>
      </c>
      <c r="K465" s="128"/>
      <c r="L465" s="128"/>
    </row>
    <row r="466" spans="1:12" s="117" customFormat="1" ht="20.399999999999999" customHeight="1">
      <c r="A466" s="170"/>
      <c r="B466" s="136"/>
      <c r="C466" s="137"/>
      <c r="D466" s="137"/>
      <c r="E466" s="137"/>
      <c r="F466" s="137"/>
      <c r="G466" s="138"/>
      <c r="H466" s="139">
        <f>SUM(H458:H465)</f>
        <v>3893000</v>
      </c>
      <c r="I466" s="128">
        <f>I460-H466</f>
        <v>0</v>
      </c>
      <c r="K466" s="128"/>
      <c r="L466" s="128"/>
    </row>
    <row r="467" spans="1:12" s="117" customFormat="1" ht="20.399999999999999" customHeight="1">
      <c r="A467" s="366" t="s">
        <v>158</v>
      </c>
      <c r="B467" s="113" t="s">
        <v>22</v>
      </c>
      <c r="C467" s="210">
        <f>E467/D467</f>
        <v>0.11965065502183406</v>
      </c>
      <c r="D467" s="38">
        <v>229</v>
      </c>
      <c r="E467" s="211" t="s">
        <v>163</v>
      </c>
      <c r="F467" s="212" t="s">
        <v>1</v>
      </c>
      <c r="G467" s="141">
        <v>21525</v>
      </c>
      <c r="H467" s="115">
        <f>E467*G467</f>
        <v>589785</v>
      </c>
      <c r="I467" s="128"/>
      <c r="K467" s="128"/>
      <c r="L467" s="128"/>
    </row>
    <row r="468" spans="1:12" s="117" customFormat="1" ht="20.399999999999999" customHeight="1">
      <c r="A468" s="351"/>
      <c r="B468" s="38" t="s">
        <v>159</v>
      </c>
      <c r="C468" s="210">
        <f>E468/D468</f>
        <v>3.9301310043668124E-2</v>
      </c>
      <c r="D468" s="38">
        <v>229</v>
      </c>
      <c r="E468" s="143">
        <v>9</v>
      </c>
      <c r="F468" s="213" t="s">
        <v>1</v>
      </c>
      <c r="G468" s="120">
        <v>215250</v>
      </c>
      <c r="H468" s="121">
        <f>E468*G468</f>
        <v>1937250</v>
      </c>
      <c r="I468" s="128"/>
      <c r="K468" s="128"/>
      <c r="L468" s="128"/>
    </row>
    <row r="469" spans="1:12" s="117" customFormat="1" ht="20.399999999999999" customHeight="1">
      <c r="A469" s="351"/>
      <c r="B469" s="38" t="s">
        <v>87</v>
      </c>
      <c r="C469" s="210">
        <f t="shared" ref="C469:C472" si="59">E469/D469</f>
        <v>1.7467248908296942E-2</v>
      </c>
      <c r="D469" s="38">
        <v>229</v>
      </c>
      <c r="E469" s="143">
        <v>4</v>
      </c>
      <c r="F469" s="213" t="s">
        <v>1</v>
      </c>
      <c r="G469" s="120">
        <v>123900</v>
      </c>
      <c r="H469" s="121">
        <f t="shared" ref="H469:H471" si="60">E469*G469</f>
        <v>495600</v>
      </c>
      <c r="I469" s="128"/>
      <c r="K469" s="128"/>
      <c r="L469" s="128"/>
    </row>
    <row r="470" spans="1:12" s="117" customFormat="1" ht="20.399999999999999" customHeight="1">
      <c r="A470" s="351"/>
      <c r="B470" s="38" t="s">
        <v>6</v>
      </c>
      <c r="C470" s="210">
        <f t="shared" si="59"/>
        <v>4.3668122270742356E-3</v>
      </c>
      <c r="D470" s="38">
        <v>229</v>
      </c>
      <c r="E470" s="214">
        <v>1</v>
      </c>
      <c r="F470" s="213" t="s">
        <v>1</v>
      </c>
      <c r="G470" s="120">
        <v>137550</v>
      </c>
      <c r="H470" s="121">
        <f t="shared" si="60"/>
        <v>137550</v>
      </c>
      <c r="I470" s="128"/>
      <c r="K470" s="128"/>
      <c r="L470" s="128"/>
    </row>
    <row r="471" spans="1:12" s="117" customFormat="1" ht="20.399999999999999" customHeight="1">
      <c r="A471" s="351"/>
      <c r="B471" s="38" t="s">
        <v>9</v>
      </c>
      <c r="C471" s="210">
        <f t="shared" si="59"/>
        <v>4.3668122270742356E-3</v>
      </c>
      <c r="D471" s="38">
        <v>229</v>
      </c>
      <c r="E471" s="215">
        <v>1</v>
      </c>
      <c r="F471" s="213" t="s">
        <v>1</v>
      </c>
      <c r="G471" s="120">
        <v>44280</v>
      </c>
      <c r="H471" s="121">
        <f t="shared" si="60"/>
        <v>44280</v>
      </c>
      <c r="I471" s="128"/>
      <c r="K471" s="128"/>
      <c r="L471" s="128"/>
    </row>
    <row r="472" spans="1:12" s="117" customFormat="1" ht="20.399999999999999" customHeight="1">
      <c r="A472" s="351"/>
      <c r="B472" s="38" t="s">
        <v>31</v>
      </c>
      <c r="C472" s="210">
        <f t="shared" si="59"/>
        <v>4.0611353711790393E-2</v>
      </c>
      <c r="D472" s="38">
        <v>229</v>
      </c>
      <c r="E472" s="215">
        <v>9.3000000000000007</v>
      </c>
      <c r="F472" s="213" t="s">
        <v>1</v>
      </c>
      <c r="G472" s="120">
        <v>42000</v>
      </c>
      <c r="H472" s="121">
        <f>E472*G472</f>
        <v>390600.00000000006</v>
      </c>
      <c r="I472" s="128"/>
      <c r="K472" s="128"/>
      <c r="L472" s="128"/>
    </row>
    <row r="473" spans="1:12" s="117" customFormat="1" ht="20.399999999999999" customHeight="1">
      <c r="A473" s="351"/>
      <c r="B473" s="38" t="s">
        <v>120</v>
      </c>
      <c r="C473" s="142"/>
      <c r="D473" s="38"/>
      <c r="E473" s="215">
        <v>7.1</v>
      </c>
      <c r="F473" s="213" t="s">
        <v>1</v>
      </c>
      <c r="G473" s="205">
        <v>21000</v>
      </c>
      <c r="H473" s="121">
        <f t="shared" ref="H473:H475" si="61">E473*G473</f>
        <v>149100</v>
      </c>
      <c r="I473" s="128"/>
      <c r="K473" s="128"/>
      <c r="L473" s="128"/>
    </row>
    <row r="474" spans="1:12" s="117" customFormat="1" ht="20.399999999999999" customHeight="1">
      <c r="A474" s="351"/>
      <c r="B474" s="38" t="s">
        <v>12</v>
      </c>
      <c r="C474" s="216"/>
      <c r="D474" s="38"/>
      <c r="E474" s="215">
        <v>0.2</v>
      </c>
      <c r="F474" s="213" t="s">
        <v>1</v>
      </c>
      <c r="G474" s="120">
        <v>60900</v>
      </c>
      <c r="H474" s="121">
        <f t="shared" si="61"/>
        <v>12180</v>
      </c>
      <c r="I474" s="128"/>
      <c r="K474" s="128"/>
      <c r="L474" s="128"/>
    </row>
    <row r="475" spans="1:12" s="117" customFormat="1" ht="20.399999999999999" customHeight="1">
      <c r="A475" s="351"/>
      <c r="B475" s="38" t="s">
        <v>51</v>
      </c>
      <c r="C475" s="216"/>
      <c r="D475" s="38"/>
      <c r="E475" s="215">
        <v>0.1</v>
      </c>
      <c r="F475" s="213" t="s">
        <v>1</v>
      </c>
      <c r="G475" s="205">
        <v>42000</v>
      </c>
      <c r="H475" s="121">
        <f t="shared" si="61"/>
        <v>4200</v>
      </c>
      <c r="I475" s="128"/>
      <c r="K475" s="128"/>
      <c r="L475" s="128"/>
    </row>
    <row r="476" spans="1:12" s="117" customFormat="1" ht="20.399999999999999" customHeight="1">
      <c r="A476" s="122"/>
      <c r="B476" s="167" t="s">
        <v>25</v>
      </c>
      <c r="C476" s="202"/>
      <c r="D476" s="203"/>
      <c r="E476" s="201"/>
      <c r="F476" s="204"/>
      <c r="G476" s="205"/>
      <c r="H476" s="206">
        <f>133080-625</f>
        <v>132455</v>
      </c>
      <c r="I476" s="134" t="s">
        <v>138</v>
      </c>
      <c r="K476" s="128"/>
      <c r="L476" s="128"/>
    </row>
    <row r="477" spans="1:12" s="117" customFormat="1" ht="20.399999999999999" customHeight="1">
      <c r="A477" s="170"/>
      <c r="B477" s="200"/>
      <c r="C477" s="207"/>
      <c r="D477" s="207"/>
      <c r="E477" s="207"/>
      <c r="F477" s="207"/>
      <c r="G477" s="207"/>
      <c r="H477" s="139">
        <f>SUM(H467:H476)</f>
        <v>3893000</v>
      </c>
      <c r="I477" s="128">
        <f>H477-I460</f>
        <v>0</v>
      </c>
      <c r="K477" s="128"/>
      <c r="L477" s="128"/>
    </row>
    <row r="478" spans="1:12" s="117" customFormat="1" ht="15" customHeight="1">
      <c r="A478" s="350" t="s">
        <v>160</v>
      </c>
      <c r="B478" s="208" t="s">
        <v>22</v>
      </c>
      <c r="C478" s="171">
        <f>E478/D478</f>
        <v>0.11965065502183406</v>
      </c>
      <c r="D478" s="38">
        <v>229</v>
      </c>
      <c r="E478" s="187" t="s">
        <v>163</v>
      </c>
      <c r="F478" s="160" t="s">
        <v>1</v>
      </c>
      <c r="G478" s="209">
        <v>21525</v>
      </c>
      <c r="H478" s="161">
        <f>E478*G478</f>
        <v>589785</v>
      </c>
      <c r="I478" s="182">
        <f>H477-J479</f>
        <v>0</v>
      </c>
      <c r="J478" s="128"/>
    </row>
    <row r="479" spans="1:12" s="117" customFormat="1" ht="15" customHeight="1">
      <c r="A479" s="350"/>
      <c r="B479" s="38" t="s">
        <v>6</v>
      </c>
      <c r="C479" s="142">
        <f t="shared" ref="C479:C482" si="62">E479/D479</f>
        <v>6.8995633187772923E-2</v>
      </c>
      <c r="D479" s="38">
        <v>229</v>
      </c>
      <c r="E479" s="143">
        <v>15.8</v>
      </c>
      <c r="F479" s="38" t="s">
        <v>1</v>
      </c>
      <c r="G479" s="120">
        <v>137550</v>
      </c>
      <c r="H479" s="121">
        <f>E479*G479-1892</f>
        <v>2171398</v>
      </c>
      <c r="J479" s="124">
        <f>229*17000</f>
        <v>3893000</v>
      </c>
    </row>
    <row r="480" spans="1:12" s="117" customFormat="1" ht="15" customHeight="1">
      <c r="A480" s="350"/>
      <c r="B480" s="38" t="s">
        <v>34</v>
      </c>
      <c r="C480" s="144">
        <f t="shared" si="62"/>
        <v>3.0567685589519651E-3</v>
      </c>
      <c r="D480" s="38">
        <v>229</v>
      </c>
      <c r="E480" s="119" t="s">
        <v>35</v>
      </c>
      <c r="F480" s="38" t="s">
        <v>1</v>
      </c>
      <c r="G480" s="120">
        <v>304500</v>
      </c>
      <c r="H480" s="121">
        <f>E480*G480</f>
        <v>213150</v>
      </c>
    </row>
    <row r="481" spans="1:13" s="117" customFormat="1" ht="15" customHeight="1">
      <c r="A481" s="350"/>
      <c r="B481" s="38" t="s">
        <v>36</v>
      </c>
      <c r="C481" s="144">
        <f t="shared" si="62"/>
        <v>3.9301310043668124E-2</v>
      </c>
      <c r="D481" s="38">
        <v>229</v>
      </c>
      <c r="E481" s="119" t="s">
        <v>145</v>
      </c>
      <c r="F481" s="38" t="s">
        <v>1</v>
      </c>
      <c r="G481" s="120">
        <v>67200</v>
      </c>
      <c r="H481" s="121">
        <f>E481*G481</f>
        <v>604800</v>
      </c>
    </row>
    <row r="482" spans="1:13" s="117" customFormat="1" ht="15" customHeight="1">
      <c r="A482" s="350"/>
      <c r="B482" s="38" t="s">
        <v>94</v>
      </c>
      <c r="C482" s="144">
        <f t="shared" si="62"/>
        <v>3.3624454148471615E-2</v>
      </c>
      <c r="D482" s="38">
        <v>229</v>
      </c>
      <c r="E482" s="119" t="s">
        <v>165</v>
      </c>
      <c r="F482" s="38" t="s">
        <v>1</v>
      </c>
      <c r="G482" s="120">
        <v>22050</v>
      </c>
      <c r="H482" s="121">
        <f t="shared" ref="H482:H484" si="63">E482*G482</f>
        <v>169785</v>
      </c>
      <c r="J482" s="124">
        <f>231*17000</f>
        <v>3927000</v>
      </c>
    </row>
    <row r="483" spans="1:13" s="117" customFormat="1" ht="15" customHeight="1">
      <c r="A483" s="350"/>
      <c r="B483" s="38" t="s">
        <v>41</v>
      </c>
      <c r="C483" s="142"/>
      <c r="D483" s="38">
        <v>229</v>
      </c>
      <c r="E483" s="119" t="s">
        <v>46</v>
      </c>
      <c r="F483" s="38" t="s">
        <v>4</v>
      </c>
      <c r="G483" s="120">
        <v>42000</v>
      </c>
      <c r="H483" s="121">
        <f t="shared" si="63"/>
        <v>4200</v>
      </c>
    </row>
    <row r="484" spans="1:13" s="117" customFormat="1" ht="15" customHeight="1">
      <c r="A484" s="180"/>
      <c r="B484" s="38" t="s">
        <v>12</v>
      </c>
      <c r="C484" s="216"/>
      <c r="D484" s="38"/>
      <c r="E484" s="215">
        <v>0.1</v>
      </c>
      <c r="F484" s="213" t="s">
        <v>1</v>
      </c>
      <c r="G484" s="120">
        <v>60900</v>
      </c>
      <c r="H484" s="121">
        <f t="shared" si="63"/>
        <v>6090</v>
      </c>
    </row>
    <row r="485" spans="1:13" s="117" customFormat="1" ht="15" customHeight="1">
      <c r="A485" s="145"/>
      <c r="B485" s="125" t="s">
        <v>25</v>
      </c>
      <c r="C485" s="125"/>
      <c r="D485" s="125"/>
      <c r="E485" s="126"/>
      <c r="F485" s="127"/>
      <c r="G485" s="125"/>
      <c r="H485" s="133">
        <v>133080</v>
      </c>
      <c r="I485" s="134" t="s">
        <v>138</v>
      </c>
      <c r="J485" s="117" t="s">
        <v>67</v>
      </c>
      <c r="K485" s="117">
        <v>42000</v>
      </c>
      <c r="L485" s="135">
        <f>K485*0.1</f>
        <v>4200</v>
      </c>
      <c r="M485" s="123">
        <f>246750-136500</f>
        <v>110250</v>
      </c>
    </row>
    <row r="486" spans="1:13" s="148" customFormat="1" ht="19.8" customHeight="1">
      <c r="A486" s="174"/>
      <c r="B486" s="175"/>
      <c r="C486" s="176"/>
      <c r="D486" s="176"/>
      <c r="E486" s="177"/>
      <c r="F486" s="178"/>
      <c r="G486" s="176"/>
      <c r="H486" s="179">
        <f>SUM(H478:H485)</f>
        <v>3892288</v>
      </c>
      <c r="J486" s="147">
        <f>H486-J479</f>
        <v>-712</v>
      </c>
      <c r="M486" s="117"/>
    </row>
    <row r="487" spans="1:13">
      <c r="A487" s="107"/>
      <c r="B487" s="107"/>
      <c r="C487" s="107"/>
      <c r="D487" s="107"/>
      <c r="E487" s="108"/>
    </row>
    <row r="488" spans="1:13" ht="18">
      <c r="A488" s="347" t="s">
        <v>28</v>
      </c>
      <c r="B488" s="347"/>
      <c r="C488" s="347" t="s">
        <v>29</v>
      </c>
      <c r="D488" s="347"/>
      <c r="E488" s="347"/>
      <c r="F488" s="1"/>
      <c r="G488" s="347" t="s">
        <v>30</v>
      </c>
      <c r="H488" s="347"/>
    </row>
    <row r="531" spans="1:20" ht="15.6">
      <c r="A531" s="6" t="s">
        <v>0</v>
      </c>
      <c r="B531" s="6"/>
    </row>
    <row r="532" spans="1:20" s="110" customFormat="1" ht="16.8" customHeight="1">
      <c r="A532" s="367" t="s">
        <v>56</v>
      </c>
      <c r="B532" s="367"/>
      <c r="C532" s="367"/>
      <c r="D532" s="367"/>
      <c r="E532" s="367"/>
      <c r="F532" s="367"/>
      <c r="G532" s="367"/>
      <c r="H532" s="367"/>
    </row>
    <row r="533" spans="1:20" s="110" customFormat="1" ht="16.8" customHeight="1">
      <c r="A533" s="109"/>
      <c r="B533" s="348" t="s">
        <v>148</v>
      </c>
      <c r="C533" s="348"/>
      <c r="D533" s="348"/>
      <c r="E533" s="348"/>
      <c r="F533" s="348"/>
      <c r="G533" s="348"/>
      <c r="H533" s="348"/>
    </row>
    <row r="534" spans="1:20" ht="15" customHeight="1">
      <c r="A534" s="7" t="s">
        <v>15</v>
      </c>
      <c r="B534" s="8" t="s">
        <v>16</v>
      </c>
      <c r="C534" s="9" t="s">
        <v>17</v>
      </c>
      <c r="D534" s="10" t="s">
        <v>18</v>
      </c>
      <c r="E534" s="45" t="s">
        <v>19</v>
      </c>
      <c r="F534" s="11" t="s">
        <v>5</v>
      </c>
      <c r="G534" s="7" t="s">
        <v>20</v>
      </c>
      <c r="H534" s="7" t="s">
        <v>21</v>
      </c>
      <c r="K534">
        <f>225*17000</f>
        <v>3825000</v>
      </c>
      <c r="L534" t="s">
        <v>33</v>
      </c>
      <c r="N534" s="12" t="s">
        <v>22</v>
      </c>
      <c r="O534" s="92">
        <f>Q534/P534</f>
        <v>0.11931330472103005</v>
      </c>
      <c r="P534" s="17">
        <v>233</v>
      </c>
      <c r="Q534" s="53" t="s">
        <v>108</v>
      </c>
      <c r="R534" s="12" t="s">
        <v>1</v>
      </c>
      <c r="S534" s="13">
        <v>21525</v>
      </c>
      <c r="T534" s="14">
        <f>Q534*S534</f>
        <v>598395</v>
      </c>
    </row>
    <row r="535" spans="1:20" s="117" customFormat="1" ht="15" customHeight="1">
      <c r="A535" s="356" t="s">
        <v>140</v>
      </c>
      <c r="B535" s="111" t="s">
        <v>11</v>
      </c>
      <c r="C535" s="112">
        <f>E535/D535</f>
        <v>0.11931330472103005</v>
      </c>
      <c r="D535" s="38">
        <v>233</v>
      </c>
      <c r="E535" s="184">
        <v>27.8</v>
      </c>
      <c r="F535" s="113" t="s">
        <v>1</v>
      </c>
      <c r="G535" s="114">
        <v>21525</v>
      </c>
      <c r="H535" s="115">
        <f>E535*G535</f>
        <v>598395</v>
      </c>
      <c r="I535" s="116"/>
      <c r="N535" s="38" t="s">
        <v>6</v>
      </c>
      <c r="O535" s="118">
        <f>Q535/P535</f>
        <v>6.5236051502145925E-2</v>
      </c>
      <c r="P535" s="38">
        <v>233</v>
      </c>
      <c r="Q535" s="119" t="s">
        <v>124</v>
      </c>
      <c r="R535" s="38" t="s">
        <v>1</v>
      </c>
      <c r="S535" s="120">
        <v>136500</v>
      </c>
      <c r="T535" s="121">
        <f>Q535*S535</f>
        <v>2074800</v>
      </c>
    </row>
    <row r="536" spans="1:20" s="117" customFormat="1" ht="15" customHeight="1">
      <c r="A536" s="357"/>
      <c r="B536" s="38" t="s">
        <v>42</v>
      </c>
      <c r="C536" s="38">
        <f>E536/D536</f>
        <v>6.1373390557939916E-2</v>
      </c>
      <c r="D536" s="38">
        <v>233</v>
      </c>
      <c r="E536" s="163">
        <v>14.3</v>
      </c>
      <c r="F536" s="38" t="s">
        <v>1</v>
      </c>
      <c r="G536" s="120">
        <v>162000</v>
      </c>
      <c r="H536" s="121">
        <f>E536*G536</f>
        <v>2316600</v>
      </c>
      <c r="N536" s="38" t="s">
        <v>34</v>
      </c>
      <c r="O536" s="118">
        <f t="shared" ref="O536:O537" si="64">Q536/P536</f>
        <v>3.004291845493562E-3</v>
      </c>
      <c r="P536" s="38">
        <v>233</v>
      </c>
      <c r="Q536" s="119" t="s">
        <v>35</v>
      </c>
      <c r="R536" s="38" t="s">
        <v>1</v>
      </c>
      <c r="S536" s="120">
        <v>306600</v>
      </c>
      <c r="T536" s="121">
        <f>Q536*S536</f>
        <v>214620</v>
      </c>
    </row>
    <row r="537" spans="1:20" s="117" customFormat="1" ht="15" customHeight="1">
      <c r="A537" s="358"/>
      <c r="B537" s="38" t="s">
        <v>43</v>
      </c>
      <c r="C537" s="38">
        <f t="shared" ref="C537:C539" si="65">E537/D537</f>
        <v>0.55793991416309008</v>
      </c>
      <c r="D537" s="38">
        <v>233</v>
      </c>
      <c r="E537" s="163">
        <v>130</v>
      </c>
      <c r="F537" s="38" t="s">
        <v>1</v>
      </c>
      <c r="G537" s="120">
        <v>3456</v>
      </c>
      <c r="H537" s="121">
        <f t="shared" ref="H537:H542" si="66">E537*G537</f>
        <v>449280</v>
      </c>
      <c r="J537" s="117" t="s">
        <v>71</v>
      </c>
      <c r="K537" s="117">
        <v>22050</v>
      </c>
      <c r="L537" s="123">
        <f>K537*5</f>
        <v>110250</v>
      </c>
      <c r="M537" s="117" t="s">
        <v>88</v>
      </c>
      <c r="N537" s="38" t="s">
        <v>36</v>
      </c>
      <c r="O537" s="118">
        <f t="shared" si="64"/>
        <v>3.733905579399141E-2</v>
      </c>
      <c r="P537" s="38">
        <v>233</v>
      </c>
      <c r="Q537" s="119" t="s">
        <v>112</v>
      </c>
      <c r="R537" s="38" t="s">
        <v>1</v>
      </c>
      <c r="S537" s="120">
        <v>67200</v>
      </c>
      <c r="T537" s="121">
        <f>Q537*S537</f>
        <v>584640</v>
      </c>
    </row>
    <row r="538" spans="1:20" s="117" customFormat="1" ht="15" customHeight="1">
      <c r="A538" s="358"/>
      <c r="B538" s="38" t="s">
        <v>44</v>
      </c>
      <c r="C538" s="38">
        <f t="shared" si="65"/>
        <v>2.1459227467811159E-2</v>
      </c>
      <c r="D538" s="38">
        <v>233</v>
      </c>
      <c r="E538" s="163">
        <v>5</v>
      </c>
      <c r="F538" s="38" t="s">
        <v>1</v>
      </c>
      <c r="G538" s="120">
        <v>31500</v>
      </c>
      <c r="H538" s="121">
        <f t="shared" si="66"/>
        <v>157500</v>
      </c>
      <c r="J538" s="117" t="s">
        <v>39</v>
      </c>
      <c r="K538" s="117" t="s">
        <v>40</v>
      </c>
      <c r="L538" s="123">
        <f>136500*1</f>
        <v>136500</v>
      </c>
      <c r="N538" s="38" t="s">
        <v>72</v>
      </c>
      <c r="O538" s="38"/>
      <c r="P538" s="38">
        <v>233</v>
      </c>
      <c r="Q538" s="119"/>
      <c r="R538" s="38" t="s">
        <v>27</v>
      </c>
      <c r="S538" s="120">
        <v>1450</v>
      </c>
      <c r="T538" s="121">
        <f>184800+136500</f>
        <v>321300</v>
      </c>
    </row>
    <row r="539" spans="1:20" s="117" customFormat="1" ht="15" customHeight="1">
      <c r="A539" s="358"/>
      <c r="B539" s="38" t="s">
        <v>13</v>
      </c>
      <c r="C539" s="38">
        <f t="shared" si="65"/>
        <v>4.2918454935622317E-3</v>
      </c>
      <c r="D539" s="38">
        <v>233</v>
      </c>
      <c r="E539" s="163">
        <v>1</v>
      </c>
      <c r="F539" s="38" t="s">
        <v>1</v>
      </c>
      <c r="G539" s="120">
        <v>173250</v>
      </c>
      <c r="H539" s="121">
        <f t="shared" si="66"/>
        <v>173250</v>
      </c>
      <c r="I539" s="124">
        <f>233*17000</f>
        <v>3961000</v>
      </c>
      <c r="J539" s="117" t="s">
        <v>66</v>
      </c>
      <c r="K539" s="117">
        <v>60900</v>
      </c>
      <c r="L539" s="123">
        <f>K539*0.1</f>
        <v>6090</v>
      </c>
      <c r="N539" s="125" t="s">
        <v>25</v>
      </c>
      <c r="O539" s="125"/>
      <c r="P539" s="125"/>
      <c r="Q539" s="126"/>
      <c r="R539" s="127"/>
      <c r="S539" s="125"/>
      <c r="T539" s="121">
        <v>136716</v>
      </c>
    </row>
    <row r="540" spans="1:20" s="117" customFormat="1" ht="15" customHeight="1">
      <c r="A540" s="358"/>
      <c r="B540" s="38" t="s">
        <v>119</v>
      </c>
      <c r="C540" s="38"/>
      <c r="D540" s="38">
        <v>233</v>
      </c>
      <c r="E540" s="163">
        <v>6.4</v>
      </c>
      <c r="F540" s="38" t="s">
        <v>1</v>
      </c>
      <c r="G540" s="120">
        <v>18900</v>
      </c>
      <c r="H540" s="121">
        <f t="shared" si="66"/>
        <v>120960</v>
      </c>
      <c r="I540" s="128">
        <f>H544-I539</f>
        <v>0</v>
      </c>
      <c r="L540" s="123"/>
      <c r="N540" s="129"/>
      <c r="O540" s="129"/>
      <c r="P540" s="129"/>
      <c r="Q540" s="130"/>
      <c r="R540" s="131"/>
      <c r="S540" s="129"/>
      <c r="T540" s="132"/>
    </row>
    <row r="541" spans="1:20" s="117" customFormat="1" ht="15" customHeight="1">
      <c r="A541" s="358"/>
      <c r="B541" s="38" t="s">
        <v>12</v>
      </c>
      <c r="C541" s="38"/>
      <c r="D541" s="38">
        <v>233</v>
      </c>
      <c r="E541" s="163">
        <v>0.1</v>
      </c>
      <c r="F541" s="38" t="s">
        <v>1</v>
      </c>
      <c r="G541" s="120">
        <v>60900</v>
      </c>
      <c r="H541" s="121">
        <f t="shared" si="66"/>
        <v>6090</v>
      </c>
      <c r="L541" s="123"/>
      <c r="N541" s="129"/>
      <c r="O541" s="129"/>
      <c r="P541" s="129"/>
      <c r="Q541" s="130"/>
      <c r="R541" s="131"/>
      <c r="S541" s="129"/>
      <c r="T541" s="132"/>
    </row>
    <row r="542" spans="1:20" s="117" customFormat="1" ht="15" customHeight="1">
      <c r="A542" s="358"/>
      <c r="B542" s="38" t="s">
        <v>41</v>
      </c>
      <c r="C542" s="38"/>
      <c r="D542" s="38">
        <v>233</v>
      </c>
      <c r="E542" s="185">
        <v>0.1</v>
      </c>
      <c r="F542" s="38" t="s">
        <v>1</v>
      </c>
      <c r="G542" s="120">
        <v>42000</v>
      </c>
      <c r="H542" s="121">
        <f t="shared" si="66"/>
        <v>4200</v>
      </c>
      <c r="L542" s="123"/>
      <c r="N542" s="129"/>
      <c r="O542" s="129"/>
      <c r="P542" s="129"/>
      <c r="Q542" s="130"/>
      <c r="R542" s="131"/>
      <c r="S542" s="129"/>
      <c r="T542" s="132"/>
    </row>
    <row r="543" spans="1:20" s="117" customFormat="1" ht="15" customHeight="1">
      <c r="A543" s="358"/>
      <c r="B543" s="125" t="s">
        <v>25</v>
      </c>
      <c r="C543" s="125"/>
      <c r="D543" s="125"/>
      <c r="E543" s="126"/>
      <c r="F543" s="127"/>
      <c r="G543" s="125"/>
      <c r="H543" s="133">
        <f>136716-1991</f>
        <v>134725</v>
      </c>
      <c r="I543" s="134" t="s">
        <v>138</v>
      </c>
      <c r="J543" s="117" t="s">
        <v>67</v>
      </c>
      <c r="K543" s="117">
        <v>42000</v>
      </c>
      <c r="L543" s="135">
        <f>K543*0.1</f>
        <v>4200</v>
      </c>
      <c r="M543" s="123">
        <f>246750-136500</f>
        <v>110250</v>
      </c>
    </row>
    <row r="544" spans="1:20" s="117" customFormat="1" ht="22.2" customHeight="1">
      <c r="A544" s="359"/>
      <c r="B544" s="361"/>
      <c r="C544" s="362"/>
      <c r="D544" s="362"/>
      <c r="E544" s="362"/>
      <c r="F544" s="362"/>
      <c r="G544" s="363"/>
      <c r="H544" s="139">
        <f>SUM(H535:H543)</f>
        <v>3961000</v>
      </c>
      <c r="J544" s="117" t="s">
        <v>114</v>
      </c>
      <c r="K544" s="128">
        <v>68040</v>
      </c>
      <c r="L544" s="128">
        <f>0.1*K544</f>
        <v>6804</v>
      </c>
    </row>
    <row r="545" spans="1:13" s="117" customFormat="1" ht="15" customHeight="1">
      <c r="A545" s="349" t="s">
        <v>141</v>
      </c>
      <c r="B545" s="113" t="s">
        <v>22</v>
      </c>
      <c r="C545" s="140">
        <f>E545/D545</f>
        <v>0.11931330472103005</v>
      </c>
      <c r="D545" s="38">
        <v>233</v>
      </c>
      <c r="E545" s="186" t="s">
        <v>108</v>
      </c>
      <c r="F545" s="113" t="s">
        <v>1</v>
      </c>
      <c r="G545" s="141">
        <v>21525</v>
      </c>
      <c r="H545" s="115">
        <f>E545*G545</f>
        <v>598395</v>
      </c>
      <c r="I545" s="116"/>
      <c r="J545" s="128"/>
    </row>
    <row r="546" spans="1:13" s="117" customFormat="1" ht="15" customHeight="1">
      <c r="A546" s="350"/>
      <c r="B546" s="38" t="s">
        <v>87</v>
      </c>
      <c r="C546" s="142">
        <f t="shared" ref="C546:C547" si="67">E546/D546</f>
        <v>7.5536480686695287E-2</v>
      </c>
      <c r="D546" s="38">
        <v>233</v>
      </c>
      <c r="E546" s="143">
        <v>17.600000000000001</v>
      </c>
      <c r="F546" s="38" t="s">
        <v>1</v>
      </c>
      <c r="G546" s="120">
        <v>125580</v>
      </c>
      <c r="H546" s="121">
        <f>E546*G546-1892</f>
        <v>2208316</v>
      </c>
      <c r="J546" s="124">
        <f>232*17000</f>
        <v>3944000</v>
      </c>
    </row>
    <row r="547" spans="1:13" s="117" customFormat="1" ht="15" customHeight="1">
      <c r="A547" s="350"/>
      <c r="B547" s="38" t="s">
        <v>36</v>
      </c>
      <c r="C547" s="144">
        <f t="shared" si="67"/>
        <v>3.1759656652360517E-2</v>
      </c>
      <c r="D547" s="38">
        <v>233</v>
      </c>
      <c r="E547" s="119" t="s">
        <v>139</v>
      </c>
      <c r="F547" s="38" t="s">
        <v>1</v>
      </c>
      <c r="G547" s="120">
        <v>67200</v>
      </c>
      <c r="H547" s="121">
        <f>E547*G547</f>
        <v>497280</v>
      </c>
    </row>
    <row r="548" spans="1:13" s="117" customFormat="1" ht="15" customHeight="1">
      <c r="A548" s="350"/>
      <c r="B548" s="38" t="s">
        <v>78</v>
      </c>
      <c r="C548" s="144"/>
      <c r="D548" s="38"/>
      <c r="E548" s="119" t="s">
        <v>48</v>
      </c>
      <c r="F548" s="38" t="s">
        <v>1</v>
      </c>
      <c r="G548" s="120">
        <v>78750</v>
      </c>
      <c r="H548" s="121">
        <f t="shared" ref="H548:H552" si="68">E548*G548</f>
        <v>236250</v>
      </c>
    </row>
    <row r="549" spans="1:13" s="117" customFormat="1" ht="15" customHeight="1">
      <c r="A549" s="350"/>
      <c r="B549" s="38" t="s">
        <v>79</v>
      </c>
      <c r="C549" s="144"/>
      <c r="D549" s="38"/>
      <c r="E549" s="119" t="s">
        <v>80</v>
      </c>
      <c r="F549" s="38" t="s">
        <v>4</v>
      </c>
      <c r="G549" s="120">
        <v>20478</v>
      </c>
      <c r="H549" s="121">
        <f t="shared" si="68"/>
        <v>266214</v>
      </c>
    </row>
    <row r="550" spans="1:13" s="117" customFormat="1" ht="15" customHeight="1">
      <c r="A550" s="351"/>
      <c r="B550" s="38" t="s">
        <v>81</v>
      </c>
      <c r="C550" s="38"/>
      <c r="D550" s="38"/>
      <c r="E550" s="119" t="s">
        <v>46</v>
      </c>
      <c r="F550" s="38" t="s">
        <v>1</v>
      </c>
      <c r="G550" s="120">
        <v>68040</v>
      </c>
      <c r="H550" s="121">
        <f t="shared" si="68"/>
        <v>6804</v>
      </c>
    </row>
    <row r="551" spans="1:13" s="117" customFormat="1" ht="15" customHeight="1">
      <c r="A551" s="351"/>
      <c r="B551" s="38" t="s">
        <v>66</v>
      </c>
      <c r="C551" s="146"/>
      <c r="D551" s="38"/>
      <c r="E551" s="119" t="s">
        <v>46</v>
      </c>
      <c r="F551" s="38" t="s">
        <v>1</v>
      </c>
      <c r="G551" s="120">
        <v>60900</v>
      </c>
      <c r="H551" s="121">
        <f t="shared" si="68"/>
        <v>6090</v>
      </c>
    </row>
    <row r="552" spans="1:13" s="148" customFormat="1" ht="15" customHeight="1">
      <c r="A552" s="351"/>
      <c r="B552" s="38" t="s">
        <v>82</v>
      </c>
      <c r="C552" s="125"/>
      <c r="D552" s="125"/>
      <c r="E552" s="119" t="s">
        <v>46</v>
      </c>
      <c r="F552" s="38" t="s">
        <v>1</v>
      </c>
      <c r="G552" s="120">
        <v>49349</v>
      </c>
      <c r="H552" s="121">
        <f t="shared" si="68"/>
        <v>4934.9000000000005</v>
      </c>
      <c r="I552" s="147" t="e">
        <f>H555-#REF!</f>
        <v>#REF!</v>
      </c>
      <c r="M552" s="117"/>
    </row>
    <row r="553" spans="1:13" s="117" customFormat="1" ht="15" customHeight="1">
      <c r="A553" s="145"/>
      <c r="B553" s="125" t="s">
        <v>25</v>
      </c>
      <c r="C553" s="125"/>
      <c r="D553" s="125"/>
      <c r="E553" s="126"/>
      <c r="F553" s="127"/>
      <c r="G553" s="125"/>
      <c r="H553" s="133">
        <v>136716</v>
      </c>
      <c r="I553" s="134" t="s">
        <v>138</v>
      </c>
      <c r="J553" s="117" t="s">
        <v>67</v>
      </c>
      <c r="K553" s="117">
        <v>42000</v>
      </c>
      <c r="L553" s="135">
        <f>K553*0.1</f>
        <v>4200</v>
      </c>
      <c r="M553" s="123">
        <f>246750-136500</f>
        <v>110250</v>
      </c>
    </row>
    <row r="554" spans="1:13" s="148" customFormat="1" ht="18.600000000000001" customHeight="1">
      <c r="A554" s="149"/>
      <c r="B554" s="150"/>
      <c r="C554" s="151"/>
      <c r="D554" s="151"/>
      <c r="E554" s="152"/>
      <c r="F554" s="153"/>
      <c r="G554" s="150"/>
      <c r="H554" s="154">
        <f>SUM(H545:H553)</f>
        <v>3960999.9</v>
      </c>
      <c r="I554" s="155"/>
      <c r="L554" s="156"/>
      <c r="M554" s="157"/>
    </row>
    <row r="555" spans="1:13" s="117" customFormat="1" ht="15" customHeight="1">
      <c r="A555" s="122"/>
      <c r="B555" s="113" t="s">
        <v>22</v>
      </c>
      <c r="C555" s="158"/>
      <c r="D555" s="159">
        <v>231</v>
      </c>
      <c r="E555" s="187" t="s">
        <v>143</v>
      </c>
      <c r="F555" s="160" t="s">
        <v>1</v>
      </c>
      <c r="G555" s="141">
        <v>21525</v>
      </c>
      <c r="H555" s="161">
        <f>E555*G555</f>
        <v>594090</v>
      </c>
      <c r="K555" s="128"/>
      <c r="L555" s="128"/>
    </row>
    <row r="556" spans="1:13" s="117" customFormat="1" ht="15" customHeight="1">
      <c r="A556" s="350" t="s">
        <v>146</v>
      </c>
      <c r="B556" s="162" t="s">
        <v>144</v>
      </c>
      <c r="C556" s="163"/>
      <c r="D556" s="164">
        <v>231</v>
      </c>
      <c r="E556" s="188" t="s">
        <v>103</v>
      </c>
      <c r="F556" s="38" t="s">
        <v>1</v>
      </c>
      <c r="G556" s="165">
        <v>162000</v>
      </c>
      <c r="H556" s="121">
        <f t="shared" ref="H556:H559" si="69">E556*G556</f>
        <v>2316600</v>
      </c>
      <c r="K556" s="128"/>
      <c r="L556" s="128"/>
    </row>
    <row r="557" spans="1:13" s="117" customFormat="1" ht="15" customHeight="1">
      <c r="A557" s="350"/>
      <c r="B557" s="162" t="s">
        <v>53</v>
      </c>
      <c r="C557" s="163"/>
      <c r="D557" s="164">
        <v>231</v>
      </c>
      <c r="E557" s="188" t="s">
        <v>23</v>
      </c>
      <c r="F557" s="38" t="s">
        <v>1</v>
      </c>
      <c r="G557" s="165">
        <v>89250</v>
      </c>
      <c r="H557" s="121">
        <f t="shared" si="69"/>
        <v>714000</v>
      </c>
      <c r="I557" s="123">
        <f>231*17000</f>
        <v>3927000</v>
      </c>
      <c r="K557" s="128"/>
      <c r="L557" s="128"/>
    </row>
    <row r="558" spans="1:13" s="117" customFormat="1" ht="15" customHeight="1">
      <c r="A558" s="350"/>
      <c r="B558" s="38" t="s">
        <v>55</v>
      </c>
      <c r="C558" s="163"/>
      <c r="D558" s="166"/>
      <c r="E558" s="163">
        <v>0.1</v>
      </c>
      <c r="F558" s="38" t="s">
        <v>4</v>
      </c>
      <c r="G558" s="120">
        <v>49350</v>
      </c>
      <c r="H558" s="121">
        <f t="shared" si="69"/>
        <v>4935</v>
      </c>
      <c r="K558" s="128"/>
      <c r="L558" s="128"/>
    </row>
    <row r="559" spans="1:13" s="117" customFormat="1" ht="15" customHeight="1">
      <c r="A559" s="350"/>
      <c r="B559" s="162" t="s">
        <v>149</v>
      </c>
      <c r="C559" s="163"/>
      <c r="D559" s="166"/>
      <c r="E559" s="185">
        <v>7.6</v>
      </c>
      <c r="F559" s="38" t="s">
        <v>1</v>
      </c>
      <c r="G559" s="120">
        <v>21000</v>
      </c>
      <c r="H559" s="121">
        <f t="shared" si="69"/>
        <v>159600</v>
      </c>
      <c r="K559" s="128"/>
      <c r="L559" s="128"/>
    </row>
    <row r="560" spans="1:13" s="117" customFormat="1" ht="15" customHeight="1">
      <c r="A560" s="351"/>
      <c r="B560" s="167" t="s">
        <v>25</v>
      </c>
      <c r="C560" s="146"/>
      <c r="D560" s="168"/>
      <c r="E560" s="169"/>
      <c r="F560" s="164" t="s">
        <v>1</v>
      </c>
      <c r="G560" s="120"/>
      <c r="H560" s="121">
        <v>136716</v>
      </c>
      <c r="K560" s="128"/>
      <c r="L560" s="128"/>
    </row>
    <row r="561" spans="1:13" s="117" customFormat="1" ht="20.399999999999999" customHeight="1">
      <c r="A561" s="170"/>
      <c r="B561" s="136"/>
      <c r="C561" s="137"/>
      <c r="D561" s="137"/>
      <c r="E561" s="137"/>
      <c r="F561" s="137"/>
      <c r="G561" s="138"/>
      <c r="H561" s="139">
        <f>SUM(H555:H560)</f>
        <v>3925941</v>
      </c>
      <c r="K561" s="128"/>
      <c r="L561" s="128"/>
    </row>
    <row r="562" spans="1:13" s="117" customFormat="1" ht="15" customHeight="1">
      <c r="A562" s="350" t="s">
        <v>142</v>
      </c>
      <c r="B562" s="113" t="s">
        <v>22</v>
      </c>
      <c r="C562" s="171">
        <f>E562/D562</f>
        <v>0.11948051948051949</v>
      </c>
      <c r="D562" s="162">
        <v>231</v>
      </c>
      <c r="E562" s="189" t="s">
        <v>143</v>
      </c>
      <c r="F562" s="162" t="s">
        <v>1</v>
      </c>
      <c r="G562" s="165">
        <v>21525</v>
      </c>
      <c r="H562" s="172">
        <f>E562*G562</f>
        <v>594090</v>
      </c>
      <c r="I562" s="116"/>
      <c r="J562" s="128"/>
    </row>
    <row r="563" spans="1:13" s="117" customFormat="1" ht="15" customHeight="1">
      <c r="A563" s="350"/>
      <c r="B563" s="38" t="s">
        <v>6</v>
      </c>
      <c r="C563" s="142">
        <f t="shared" ref="C563:C564" si="70">E563/D563</f>
        <v>6.9264069264069264E-2</v>
      </c>
      <c r="D563" s="38">
        <v>231</v>
      </c>
      <c r="E563" s="143">
        <v>16</v>
      </c>
      <c r="F563" s="38" t="s">
        <v>1</v>
      </c>
      <c r="G563" s="120">
        <v>137550</v>
      </c>
      <c r="H563" s="121">
        <f>E563*G563-1892</f>
        <v>2198908</v>
      </c>
      <c r="J563" s="124">
        <f>232*17000</f>
        <v>3944000</v>
      </c>
    </row>
    <row r="564" spans="1:13" s="117" customFormat="1" ht="15" customHeight="1">
      <c r="A564" s="350"/>
      <c r="B564" s="38" t="s">
        <v>34</v>
      </c>
      <c r="C564" s="144">
        <f t="shared" si="70"/>
        <v>3.0303030303030303E-3</v>
      </c>
      <c r="D564" s="38">
        <v>231</v>
      </c>
      <c r="E564" s="119" t="s">
        <v>35</v>
      </c>
      <c r="F564" s="38" t="s">
        <v>1</v>
      </c>
      <c r="G564" s="120">
        <v>304500</v>
      </c>
      <c r="H564" s="121">
        <f>E564*G564</f>
        <v>213150</v>
      </c>
    </row>
    <row r="565" spans="1:13" s="117" customFormat="1" ht="15" customHeight="1">
      <c r="A565" s="350"/>
      <c r="B565" s="38" t="s">
        <v>36</v>
      </c>
      <c r="C565" s="144"/>
      <c r="D565" s="38">
        <v>231</v>
      </c>
      <c r="E565" s="119" t="s">
        <v>145</v>
      </c>
      <c r="F565" s="38" t="s">
        <v>1</v>
      </c>
      <c r="G565" s="120">
        <v>67200</v>
      </c>
      <c r="H565" s="121">
        <f>E565*G565</f>
        <v>604800</v>
      </c>
    </row>
    <row r="566" spans="1:13" s="117" customFormat="1" ht="15" customHeight="1">
      <c r="A566" s="350"/>
      <c r="B566" s="38" t="s">
        <v>94</v>
      </c>
      <c r="C566" s="144"/>
      <c r="D566" s="38"/>
      <c r="E566" s="119" t="s">
        <v>147</v>
      </c>
      <c r="F566" s="38" t="s">
        <v>1</v>
      </c>
      <c r="G566" s="120">
        <v>22050</v>
      </c>
      <c r="H566" s="121">
        <f t="shared" ref="H566:H567" si="71">E566*G566</f>
        <v>174195</v>
      </c>
      <c r="J566" s="124">
        <f>231*17000</f>
        <v>3927000</v>
      </c>
    </row>
    <row r="567" spans="1:13" s="117" customFormat="1" ht="15" customHeight="1">
      <c r="A567" s="350"/>
      <c r="B567" s="173" t="s">
        <v>41</v>
      </c>
      <c r="C567" s="144"/>
      <c r="D567" s="38">
        <v>231</v>
      </c>
      <c r="E567" s="119" t="s">
        <v>46</v>
      </c>
      <c r="F567" s="38" t="s">
        <v>4</v>
      </c>
      <c r="G567" s="120">
        <v>42000</v>
      </c>
      <c r="H567" s="121">
        <f t="shared" si="71"/>
        <v>4200</v>
      </c>
    </row>
    <row r="568" spans="1:13" s="117" customFormat="1" ht="15" customHeight="1">
      <c r="A568" s="145"/>
      <c r="B568" s="125" t="s">
        <v>25</v>
      </c>
      <c r="C568" s="125"/>
      <c r="D568" s="125"/>
      <c r="E568" s="126"/>
      <c r="F568" s="127"/>
      <c r="G568" s="125"/>
      <c r="H568" s="133">
        <v>136716</v>
      </c>
      <c r="I568" s="134" t="s">
        <v>138</v>
      </c>
      <c r="J568" s="117" t="s">
        <v>67</v>
      </c>
      <c r="K568" s="117">
        <v>42000</v>
      </c>
      <c r="L568" s="135">
        <f>K568*0.1</f>
        <v>4200</v>
      </c>
      <c r="M568" s="123">
        <f>246750-136500</f>
        <v>110250</v>
      </c>
    </row>
    <row r="569" spans="1:13" s="148" customFormat="1" ht="19.8" customHeight="1">
      <c r="A569" s="174"/>
      <c r="B569" s="175"/>
      <c r="C569" s="176"/>
      <c r="D569" s="176"/>
      <c r="E569" s="177"/>
      <c r="F569" s="178"/>
      <c r="G569" s="176"/>
      <c r="H569" s="179">
        <f>SUM(H562:H568)</f>
        <v>3926059</v>
      </c>
      <c r="M569" s="117"/>
    </row>
    <row r="570" spans="1:13">
      <c r="A570" s="107"/>
      <c r="B570" s="107"/>
      <c r="C570" s="107"/>
      <c r="D570" s="107"/>
      <c r="E570" s="108"/>
    </row>
    <row r="571" spans="1:13" ht="18">
      <c r="A571" s="347" t="s">
        <v>28</v>
      </c>
      <c r="B571" s="347"/>
      <c r="C571" s="347" t="s">
        <v>29</v>
      </c>
      <c r="D571" s="347"/>
      <c r="E571" s="347"/>
      <c r="F571" s="1"/>
      <c r="G571" s="347" t="s">
        <v>30</v>
      </c>
      <c r="H571" s="347"/>
    </row>
    <row r="572" spans="1:13">
      <c r="C572"/>
      <c r="E572" s="52"/>
    </row>
    <row r="573" spans="1:13">
      <c r="C573"/>
      <c r="E573" s="52"/>
    </row>
    <row r="574" spans="1:13">
      <c r="C574"/>
      <c r="E574" s="52"/>
    </row>
    <row r="596" spans="1:21" ht="15.6">
      <c r="A596" s="6" t="s">
        <v>0</v>
      </c>
      <c r="B596" s="6"/>
    </row>
    <row r="597" spans="1:21" ht="26.4" customHeight="1">
      <c r="A597" s="375" t="s">
        <v>56</v>
      </c>
      <c r="B597" s="375"/>
      <c r="C597" s="375"/>
      <c r="D597" s="375"/>
      <c r="E597" s="375"/>
      <c r="F597" s="375"/>
      <c r="G597" s="375"/>
      <c r="H597" s="375"/>
    </row>
    <row r="598" spans="1:21" ht="26.4" customHeight="1">
      <c r="A598" s="87"/>
      <c r="B598" s="376" t="s">
        <v>137</v>
      </c>
      <c r="C598" s="376"/>
      <c r="D598" s="376"/>
      <c r="E598" s="376"/>
      <c r="F598" s="376"/>
      <c r="G598" s="376"/>
      <c r="H598" s="376"/>
    </row>
    <row r="599" spans="1:21" ht="40.799999999999997">
      <c r="A599" s="7" t="s">
        <v>15</v>
      </c>
      <c r="B599" s="8" t="s">
        <v>16</v>
      </c>
      <c r="C599" s="9" t="s">
        <v>17</v>
      </c>
      <c r="D599" s="10" t="s">
        <v>18</v>
      </c>
      <c r="E599" s="7" t="s">
        <v>19</v>
      </c>
      <c r="F599" s="11" t="s">
        <v>5</v>
      </c>
      <c r="G599" s="7" t="s">
        <v>20</v>
      </c>
      <c r="H599" s="7" t="s">
        <v>21</v>
      </c>
      <c r="O599" s="12" t="s">
        <v>22</v>
      </c>
      <c r="P599" s="100">
        <f>R599/Q599</f>
        <v>0.11939655172413793</v>
      </c>
      <c r="Q599" s="12">
        <v>232</v>
      </c>
      <c r="R599" s="53" t="s">
        <v>121</v>
      </c>
      <c r="S599" s="12" t="s">
        <v>1</v>
      </c>
      <c r="T599" s="13">
        <v>21525</v>
      </c>
      <c r="U599" s="14">
        <f>T599*R599</f>
        <v>596242.5</v>
      </c>
    </row>
    <row r="600" spans="1:21" ht="18">
      <c r="A600" s="377" t="s">
        <v>132</v>
      </c>
      <c r="B600" s="12" t="s">
        <v>22</v>
      </c>
      <c r="C600" s="101">
        <f>E600/D600</f>
        <v>0.11982758620689656</v>
      </c>
      <c r="D600" s="17">
        <v>232</v>
      </c>
      <c r="E600" s="53" t="s">
        <v>108</v>
      </c>
      <c r="F600" s="67" t="s">
        <v>1</v>
      </c>
      <c r="G600" s="13">
        <v>21525</v>
      </c>
      <c r="H600" s="14">
        <f>E600*G600</f>
        <v>598395</v>
      </c>
      <c r="I600" s="43" t="s">
        <v>2</v>
      </c>
      <c r="O600" s="17" t="s">
        <v>6</v>
      </c>
      <c r="P600" s="101">
        <f>R600/Q600</f>
        <v>6.5236051502145925E-2</v>
      </c>
      <c r="Q600" s="17">
        <v>233</v>
      </c>
      <c r="R600" s="54" t="s">
        <v>124</v>
      </c>
      <c r="S600" s="17" t="s">
        <v>1</v>
      </c>
      <c r="T600" s="18">
        <v>136500</v>
      </c>
      <c r="U600" s="19">
        <f>T600*R600</f>
        <v>2074800</v>
      </c>
    </row>
    <row r="601" spans="1:21" ht="18">
      <c r="A601" s="378"/>
      <c r="B601" s="38" t="s">
        <v>49</v>
      </c>
      <c r="C601" s="101">
        <f>E601/D601</f>
        <v>3.8793103448275863E-2</v>
      </c>
      <c r="D601" s="17">
        <v>232</v>
      </c>
      <c r="E601" s="58">
        <v>9</v>
      </c>
      <c r="F601" s="68" t="s">
        <v>1</v>
      </c>
      <c r="G601" s="18">
        <v>199500</v>
      </c>
      <c r="H601" s="19">
        <f>E601*G601</f>
        <v>1795500</v>
      </c>
      <c r="O601" s="17" t="s">
        <v>34</v>
      </c>
      <c r="P601" s="101">
        <f t="shared" ref="P601:P604" si="72">R601/Q601</f>
        <v>3.004291845493562E-3</v>
      </c>
      <c r="Q601" s="17">
        <v>233</v>
      </c>
      <c r="R601" s="54" t="s">
        <v>35</v>
      </c>
      <c r="S601" s="17" t="s">
        <v>1</v>
      </c>
      <c r="T601" s="18">
        <v>306600</v>
      </c>
      <c r="U601" s="19">
        <f t="shared" ref="U601:U604" si="73">T601*R601</f>
        <v>214620</v>
      </c>
    </row>
    <row r="602" spans="1:21" ht="18">
      <c r="A602" s="379"/>
      <c r="B602" s="17" t="s">
        <v>87</v>
      </c>
      <c r="C602" s="101">
        <f t="shared" ref="C602:C605" si="74">E602/D602</f>
        <v>2.3706896551724137E-2</v>
      </c>
      <c r="D602" s="17">
        <v>232</v>
      </c>
      <c r="E602" s="58">
        <v>5.5</v>
      </c>
      <c r="F602" s="68" t="s">
        <v>1</v>
      </c>
      <c r="G602" s="18">
        <v>123900</v>
      </c>
      <c r="H602" s="19">
        <f t="shared" ref="H602:H604" si="75">E602*G602</f>
        <v>681450</v>
      </c>
      <c r="O602" s="17" t="s">
        <v>36</v>
      </c>
      <c r="P602" s="101">
        <f t="shared" si="72"/>
        <v>3.733905579399141E-2</v>
      </c>
      <c r="Q602" s="17">
        <v>233</v>
      </c>
      <c r="R602" s="54" t="s">
        <v>112</v>
      </c>
      <c r="S602" s="17" t="s">
        <v>1</v>
      </c>
      <c r="T602" s="18">
        <v>67200</v>
      </c>
      <c r="U602" s="19">
        <f t="shared" si="73"/>
        <v>584640</v>
      </c>
    </row>
    <row r="603" spans="1:21" ht="18">
      <c r="A603" s="379"/>
      <c r="B603" s="17" t="s">
        <v>6</v>
      </c>
      <c r="C603" s="101">
        <f t="shared" si="74"/>
        <v>4.3103448275862068E-3</v>
      </c>
      <c r="D603" s="17">
        <v>232</v>
      </c>
      <c r="E603" s="57">
        <v>1</v>
      </c>
      <c r="F603" s="68" t="s">
        <v>1</v>
      </c>
      <c r="G603" s="18">
        <v>136500</v>
      </c>
      <c r="H603" s="19">
        <f t="shared" si="75"/>
        <v>136500</v>
      </c>
      <c r="O603" s="17" t="s">
        <v>6</v>
      </c>
      <c r="P603" s="101">
        <f t="shared" si="72"/>
        <v>4.2918454935622317E-3</v>
      </c>
      <c r="Q603" s="17">
        <v>233</v>
      </c>
      <c r="R603" s="46">
        <v>1</v>
      </c>
      <c r="S603" s="17" t="s">
        <v>1</v>
      </c>
      <c r="T603" s="18">
        <v>136500</v>
      </c>
      <c r="U603" s="19">
        <f t="shared" si="73"/>
        <v>136500</v>
      </c>
    </row>
    <row r="604" spans="1:21" ht="18">
      <c r="A604" s="379"/>
      <c r="B604" s="17" t="s">
        <v>9</v>
      </c>
      <c r="C604" s="101">
        <f t="shared" si="74"/>
        <v>4.3103448275862068E-3</v>
      </c>
      <c r="D604" s="17">
        <v>232</v>
      </c>
      <c r="E604" s="59">
        <v>1</v>
      </c>
      <c r="F604" s="68" t="s">
        <v>1</v>
      </c>
      <c r="G604" s="18">
        <v>36720</v>
      </c>
      <c r="H604" s="19">
        <f t="shared" si="75"/>
        <v>36720</v>
      </c>
      <c r="O604" s="17" t="s">
        <v>77</v>
      </c>
      <c r="P604" s="101">
        <f t="shared" si="72"/>
        <v>3.4334763948497854E-2</v>
      </c>
      <c r="Q604" s="17">
        <v>233</v>
      </c>
      <c r="R604" s="46">
        <v>8</v>
      </c>
      <c r="S604" s="17" t="s">
        <v>1</v>
      </c>
      <c r="T604" s="18">
        <v>23100</v>
      </c>
      <c r="U604" s="19">
        <f t="shared" si="73"/>
        <v>184800</v>
      </c>
    </row>
    <row r="605" spans="1:21" ht="18">
      <c r="A605" s="379"/>
      <c r="B605" s="17" t="s">
        <v>31</v>
      </c>
      <c r="C605" s="101">
        <f t="shared" si="74"/>
        <v>3.6637931034482756E-2</v>
      </c>
      <c r="D605" s="17">
        <v>232</v>
      </c>
      <c r="E605" s="57">
        <v>8.5</v>
      </c>
      <c r="F605" s="68" t="s">
        <v>1</v>
      </c>
      <c r="G605" s="18">
        <v>49350</v>
      </c>
      <c r="H605" s="19">
        <f>E605*G605</f>
        <v>419475</v>
      </c>
      <c r="I605" s="30"/>
      <c r="J605" s="30"/>
      <c r="K605" s="37"/>
      <c r="N605" s="30"/>
      <c r="O605" s="35"/>
      <c r="P605" s="49"/>
      <c r="Q605" s="17"/>
      <c r="R605" s="63"/>
      <c r="S605" s="17"/>
      <c r="T605" s="36"/>
      <c r="U605" s="19"/>
    </row>
    <row r="606" spans="1:21" ht="18">
      <c r="A606" s="379"/>
      <c r="B606" s="17" t="s">
        <v>120</v>
      </c>
      <c r="C606" s="48"/>
      <c r="D606" s="17"/>
      <c r="E606" s="57">
        <v>8</v>
      </c>
      <c r="F606" s="68" t="s">
        <v>1</v>
      </c>
      <c r="G606" s="36">
        <v>18900</v>
      </c>
      <c r="H606" s="19">
        <f t="shared" ref="H606:H608" si="76">E606*G606</f>
        <v>151200</v>
      </c>
      <c r="K606" s="37"/>
      <c r="N606" s="30"/>
      <c r="O606" s="35"/>
      <c r="P606" s="49"/>
      <c r="Q606" s="17"/>
      <c r="R606" s="63"/>
      <c r="S606" s="17"/>
      <c r="T606" s="36"/>
      <c r="U606" s="19"/>
    </row>
    <row r="607" spans="1:21" ht="18">
      <c r="A607" s="379"/>
      <c r="B607" s="17" t="s">
        <v>12</v>
      </c>
      <c r="C607" s="76"/>
      <c r="D607" s="17"/>
      <c r="E607" s="59">
        <v>0.1</v>
      </c>
      <c r="F607" s="68" t="s">
        <v>1</v>
      </c>
      <c r="G607" s="18">
        <v>60900</v>
      </c>
      <c r="H607" s="19">
        <f t="shared" si="76"/>
        <v>6090</v>
      </c>
      <c r="I607" s="97" t="e">
        <f>#REF!</f>
        <v>#REF!</v>
      </c>
      <c r="J607" s="97" t="e">
        <f>I607-136716</f>
        <v>#REF!</v>
      </c>
      <c r="K607" s="37" t="e">
        <f>H609-J607</f>
        <v>#REF!</v>
      </c>
      <c r="O607" s="20" t="s">
        <v>41</v>
      </c>
      <c r="P607" s="49"/>
      <c r="Q607" s="17">
        <v>233</v>
      </c>
      <c r="R607" s="63" t="s">
        <v>46</v>
      </c>
      <c r="S607" s="17" t="s">
        <v>1</v>
      </c>
      <c r="T607" s="36">
        <v>42000</v>
      </c>
      <c r="U607" s="19">
        <f t="shared" ref="U607" si="77">T607*R607</f>
        <v>4200</v>
      </c>
    </row>
    <row r="608" spans="1:21" ht="18">
      <c r="A608" s="379"/>
      <c r="B608" s="17" t="s">
        <v>51</v>
      </c>
      <c r="C608" s="76"/>
      <c r="D608" s="17"/>
      <c r="E608" s="59">
        <v>0.1</v>
      </c>
      <c r="F608" s="68" t="s">
        <v>1</v>
      </c>
      <c r="G608" s="36">
        <v>42000</v>
      </c>
      <c r="H608" s="19">
        <f t="shared" si="76"/>
        <v>4200</v>
      </c>
      <c r="J608" s="97" t="e">
        <f>#REF!</f>
        <v>#REF!</v>
      </c>
      <c r="K608" s="97" t="e">
        <f>J608-136716</f>
        <v>#REF!</v>
      </c>
      <c r="L608" s="30">
        <f>H609</f>
        <v>3829530</v>
      </c>
      <c r="M608" s="30" t="e">
        <f>H609-K608</f>
        <v>#REF!</v>
      </c>
    </row>
    <row r="609" spans="1:19" ht="18">
      <c r="A609" s="380"/>
      <c r="B609" s="371"/>
      <c r="C609" s="372"/>
      <c r="D609" s="372"/>
      <c r="E609" s="372"/>
      <c r="F609" s="372"/>
      <c r="G609" s="373"/>
      <c r="H609" s="26">
        <f>SUM(H600:H608)</f>
        <v>3829530</v>
      </c>
      <c r="J609" t="s">
        <v>71</v>
      </c>
      <c r="K609">
        <v>22050</v>
      </c>
      <c r="L609" s="37">
        <f>K609*5</f>
        <v>110250</v>
      </c>
    </row>
    <row r="610" spans="1:19" ht="18">
      <c r="A610" s="368" t="s">
        <v>133</v>
      </c>
      <c r="B610" s="98" t="s">
        <v>11</v>
      </c>
      <c r="C610" s="100">
        <f>E610/D610</f>
        <v>0.11931330472103005</v>
      </c>
      <c r="D610" s="12">
        <v>233</v>
      </c>
      <c r="E610" s="190">
        <v>27.8</v>
      </c>
      <c r="F610" s="12" t="s">
        <v>1</v>
      </c>
      <c r="G610" s="99">
        <v>21525</v>
      </c>
      <c r="H610" s="14">
        <f>G610*E610</f>
        <v>598395</v>
      </c>
      <c r="I610" s="43" t="s">
        <v>2</v>
      </c>
      <c r="J610" t="s">
        <v>39</v>
      </c>
      <c r="K610" t="s">
        <v>40</v>
      </c>
      <c r="L610" s="37">
        <f>136500*1</f>
        <v>136500</v>
      </c>
    </row>
    <row r="611" spans="1:19" ht="18">
      <c r="A611" s="369"/>
      <c r="B611" s="17" t="s">
        <v>129</v>
      </c>
      <c r="C611" s="101">
        <f>E611/D611</f>
        <v>0.10944206008583691</v>
      </c>
      <c r="D611" s="17">
        <v>233</v>
      </c>
      <c r="E611" s="42">
        <v>25.5</v>
      </c>
      <c r="F611" s="17" t="s">
        <v>1</v>
      </c>
      <c r="G611" s="18">
        <v>85050</v>
      </c>
      <c r="H611" s="19">
        <f>G611*E611</f>
        <v>2168775</v>
      </c>
      <c r="J611" t="s">
        <v>70</v>
      </c>
      <c r="K611">
        <v>39900</v>
      </c>
      <c r="L611" s="37">
        <f>K611*3</f>
        <v>119700</v>
      </c>
    </row>
    <row r="612" spans="1:19" ht="18">
      <c r="A612" s="369"/>
      <c r="B612" s="17" t="s">
        <v>130</v>
      </c>
      <c r="C612" s="101">
        <f t="shared" ref="C612:C615" si="78">E612/D612</f>
        <v>3.4334763948497854E-2</v>
      </c>
      <c r="D612" s="17">
        <v>233</v>
      </c>
      <c r="E612" s="42">
        <v>8</v>
      </c>
      <c r="F612" s="17" t="s">
        <v>1</v>
      </c>
      <c r="G612" s="18">
        <v>68250</v>
      </c>
      <c r="H612" s="19">
        <f t="shared" ref="H612:H615" si="79">G612*E612</f>
        <v>546000</v>
      </c>
      <c r="J612" t="s">
        <v>66</v>
      </c>
      <c r="K612">
        <v>60900</v>
      </c>
      <c r="L612" s="37">
        <f>K612*0.1</f>
        <v>6090</v>
      </c>
    </row>
    <row r="613" spans="1:19" ht="18">
      <c r="A613" s="369"/>
      <c r="B613" s="17" t="s">
        <v>78</v>
      </c>
      <c r="C613" s="101">
        <f t="shared" si="78"/>
        <v>1.2875536480686695E-2</v>
      </c>
      <c r="D613" s="17">
        <v>233</v>
      </c>
      <c r="E613" s="54" t="s">
        <v>48</v>
      </c>
      <c r="F613" s="17" t="s">
        <v>1</v>
      </c>
      <c r="G613" s="18">
        <v>78750</v>
      </c>
      <c r="H613" s="19">
        <f t="shared" si="79"/>
        <v>236250</v>
      </c>
      <c r="J613" t="s">
        <v>67</v>
      </c>
      <c r="K613">
        <v>42000</v>
      </c>
      <c r="L613" s="51">
        <f>K613*0.1</f>
        <v>4200</v>
      </c>
    </row>
    <row r="614" spans="1:19" ht="18">
      <c r="A614" s="369"/>
      <c r="B614" s="17" t="s">
        <v>79</v>
      </c>
      <c r="C614" s="101">
        <f t="shared" si="78"/>
        <v>5.5793991416309016E-2</v>
      </c>
      <c r="D614" s="17">
        <v>233</v>
      </c>
      <c r="E614" s="54" t="s">
        <v>80</v>
      </c>
      <c r="F614" s="17" t="s">
        <v>1</v>
      </c>
      <c r="G614" s="18">
        <v>20478</v>
      </c>
      <c r="H614" s="19">
        <f t="shared" si="79"/>
        <v>266214</v>
      </c>
    </row>
    <row r="615" spans="1:19" ht="16.8" customHeight="1">
      <c r="A615" s="369"/>
      <c r="B615" s="17" t="s">
        <v>81</v>
      </c>
      <c r="C615" s="101">
        <f t="shared" si="78"/>
        <v>4.2918454935622321E-4</v>
      </c>
      <c r="D615" s="17">
        <v>233</v>
      </c>
      <c r="E615" s="54" t="s">
        <v>46</v>
      </c>
      <c r="F615" s="17" t="s">
        <v>1</v>
      </c>
      <c r="G615" s="18">
        <v>68040</v>
      </c>
      <c r="H615" s="19">
        <f t="shared" si="79"/>
        <v>6804</v>
      </c>
      <c r="J615" s="30">
        <f>H614+H615</f>
        <v>273018</v>
      </c>
    </row>
    <row r="616" spans="1:19" ht="16.8" customHeight="1">
      <c r="A616" s="370"/>
      <c r="B616" s="17" t="s">
        <v>82</v>
      </c>
      <c r="C616" s="76"/>
      <c r="D616" s="17"/>
      <c r="E616" s="54" t="s">
        <v>46</v>
      </c>
      <c r="F616" s="68" t="s">
        <v>1</v>
      </c>
      <c r="G616" s="18">
        <v>49349</v>
      </c>
      <c r="H616" s="19">
        <f t="shared" ref="H616" si="80">E616*G616</f>
        <v>4934.9000000000005</v>
      </c>
      <c r="J616" s="30"/>
    </row>
    <row r="617" spans="1:19" ht="18">
      <c r="A617" s="370"/>
      <c r="B617" s="371"/>
      <c r="C617" s="372"/>
      <c r="D617" s="372"/>
      <c r="E617" s="372"/>
      <c r="F617" s="372"/>
      <c r="G617" s="373"/>
      <c r="H617" s="26">
        <f>SUM(H610:H616)</f>
        <v>3827372.9</v>
      </c>
      <c r="J617" s="30" t="e">
        <f>#REF!</f>
        <v>#REF!</v>
      </c>
      <c r="K617" s="30" t="e">
        <f>H617-J617</f>
        <v>#REF!</v>
      </c>
      <c r="L617" s="30" t="e">
        <f>#REF!-#REF!</f>
        <v>#REF!</v>
      </c>
    </row>
    <row r="618" spans="1:19" ht="18">
      <c r="A618" s="370"/>
      <c r="B618" s="67" t="s">
        <v>22</v>
      </c>
      <c r="C618" s="89">
        <f>E618/D618</f>
        <v>0.11948051948051949</v>
      </c>
      <c r="D618" s="12">
        <v>231</v>
      </c>
      <c r="E618" s="190">
        <v>27.6</v>
      </c>
      <c r="F618" s="3" t="s">
        <v>1</v>
      </c>
      <c r="G618" s="4">
        <v>21525</v>
      </c>
      <c r="H618" s="5">
        <f>E618*G618</f>
        <v>594090</v>
      </c>
      <c r="I618" s="43" t="s">
        <v>2</v>
      </c>
      <c r="K618" s="37"/>
    </row>
    <row r="619" spans="1:19" ht="18">
      <c r="A619" s="374" t="s">
        <v>134</v>
      </c>
      <c r="B619" s="68" t="s">
        <v>10</v>
      </c>
      <c r="C619" s="91">
        <f t="shared" ref="C619:C622" si="81">E619/D619</f>
        <v>7.7056277056277059E-2</v>
      </c>
      <c r="D619" s="17">
        <v>231</v>
      </c>
      <c r="E619" s="76">
        <v>17.8</v>
      </c>
      <c r="F619" s="17" t="s">
        <v>1</v>
      </c>
      <c r="G619" s="73">
        <v>131250</v>
      </c>
      <c r="H619" s="19">
        <f>E619*G619</f>
        <v>2336250</v>
      </c>
      <c r="J619" t="e">
        <f>#REF!</f>
        <v>#REF!</v>
      </c>
      <c r="K619" t="e">
        <f>J619-136716</f>
        <v>#REF!</v>
      </c>
      <c r="L619" s="30" t="e">
        <f>H617-K619</f>
        <v>#REF!</v>
      </c>
    </row>
    <row r="620" spans="1:19" ht="18">
      <c r="A620" s="370"/>
      <c r="B620" s="17" t="s">
        <v>6</v>
      </c>
      <c r="C620" s="101">
        <f t="shared" si="81"/>
        <v>4.329004329004329E-3</v>
      </c>
      <c r="D620" s="17">
        <v>231</v>
      </c>
      <c r="E620" s="57">
        <v>1</v>
      </c>
      <c r="F620" s="17" t="s">
        <v>1</v>
      </c>
      <c r="G620" s="18">
        <v>136500</v>
      </c>
      <c r="H620" s="19">
        <f t="shared" ref="H620" si="82">G620*E620</f>
        <v>136500</v>
      </c>
      <c r="L620" s="30"/>
    </row>
    <row r="621" spans="1:19" ht="18">
      <c r="A621" s="370"/>
      <c r="B621" s="68" t="s">
        <v>7</v>
      </c>
      <c r="C621" s="90">
        <f t="shared" si="81"/>
        <v>0.56277056277056281</v>
      </c>
      <c r="D621" s="17">
        <v>231</v>
      </c>
      <c r="E621" s="76">
        <v>130</v>
      </c>
      <c r="F621" s="17" t="s">
        <v>1</v>
      </c>
      <c r="G621" s="73">
        <v>3672</v>
      </c>
      <c r="H621" s="19">
        <f t="shared" ref="H621:H624" si="83">E621*G621</f>
        <v>477360</v>
      </c>
    </row>
    <row r="622" spans="1:19" ht="18">
      <c r="A622" s="370"/>
      <c r="B622" s="68" t="s">
        <v>8</v>
      </c>
      <c r="C622" s="90">
        <f t="shared" si="81"/>
        <v>4.329004329004329E-3</v>
      </c>
      <c r="D622" s="17">
        <v>231</v>
      </c>
      <c r="E622" s="191" t="s">
        <v>26</v>
      </c>
      <c r="F622" s="17"/>
      <c r="G622" s="74">
        <v>70200</v>
      </c>
      <c r="H622" s="19">
        <f t="shared" si="83"/>
        <v>70200</v>
      </c>
      <c r="M622" s="17" t="s">
        <v>6</v>
      </c>
      <c r="N622" s="101">
        <f t="shared" ref="N622:N623" si="84">P622/O622</f>
        <v>4.2918454935622317E-3</v>
      </c>
      <c r="O622" s="17">
        <v>233</v>
      </c>
      <c r="P622" s="46">
        <v>1</v>
      </c>
      <c r="Q622" s="17" t="s">
        <v>1</v>
      </c>
      <c r="R622" s="18">
        <v>136500</v>
      </c>
      <c r="S622" s="19">
        <f t="shared" ref="S622:S623" si="85">R622*P622</f>
        <v>136500</v>
      </c>
    </row>
    <row r="623" spans="1:19" ht="18">
      <c r="A623" s="370"/>
      <c r="B623" s="68" t="s">
        <v>84</v>
      </c>
      <c r="C623" s="82"/>
      <c r="D623" s="17">
        <v>231</v>
      </c>
      <c r="E623" s="76">
        <v>0.1</v>
      </c>
      <c r="F623" s="17" t="s">
        <v>1</v>
      </c>
      <c r="G623" s="18">
        <v>60900</v>
      </c>
      <c r="H623" s="19">
        <f t="shared" si="83"/>
        <v>6090</v>
      </c>
      <c r="J623" s="30" t="e">
        <f>H623+#REF!+#REF!</f>
        <v>#REF!</v>
      </c>
      <c r="M623" s="17" t="s">
        <v>77</v>
      </c>
      <c r="N623" s="101">
        <f t="shared" si="84"/>
        <v>3.4334763948497854E-2</v>
      </c>
      <c r="O623" s="17">
        <v>233</v>
      </c>
      <c r="P623" s="46">
        <v>8</v>
      </c>
      <c r="Q623" s="17" t="s">
        <v>1</v>
      </c>
      <c r="R623" s="18">
        <v>23100</v>
      </c>
      <c r="S623" s="19">
        <f t="shared" si="85"/>
        <v>184800</v>
      </c>
    </row>
    <row r="624" spans="1:19" ht="18">
      <c r="A624" s="370"/>
      <c r="B624" s="68" t="s">
        <v>9</v>
      </c>
      <c r="C624" s="68"/>
      <c r="D624" s="17">
        <v>231</v>
      </c>
      <c r="E624" s="191" t="s">
        <v>26</v>
      </c>
      <c r="F624" s="17" t="s">
        <v>1</v>
      </c>
      <c r="G624" s="73">
        <v>44280</v>
      </c>
      <c r="H624" s="19">
        <f t="shared" si="83"/>
        <v>44280</v>
      </c>
      <c r="J624" s="30"/>
    </row>
    <row r="625" spans="1:13" ht="18">
      <c r="A625" s="370"/>
      <c r="B625" s="68" t="s">
        <v>38</v>
      </c>
      <c r="C625" s="101">
        <f t="shared" ref="C625" si="86">E625/D625</f>
        <v>2.5974025974025976E-2</v>
      </c>
      <c r="D625" s="17">
        <v>231</v>
      </c>
      <c r="E625" s="57">
        <v>6</v>
      </c>
      <c r="F625" s="17" t="s">
        <v>1</v>
      </c>
      <c r="G625" s="18">
        <v>23100</v>
      </c>
      <c r="H625" s="19">
        <f t="shared" ref="H625" si="87">G625*E625</f>
        <v>138600</v>
      </c>
      <c r="I625" s="30">
        <f>H620+H625</f>
        <v>275100</v>
      </c>
      <c r="J625" s="30"/>
    </row>
    <row r="626" spans="1:13" ht="18">
      <c r="A626" s="370"/>
      <c r="B626" s="17"/>
      <c r="C626" s="42"/>
      <c r="D626" s="20"/>
      <c r="E626" s="192"/>
      <c r="F626" s="27"/>
      <c r="G626" s="18"/>
      <c r="H626" s="28">
        <f>SUM(H618:H625)</f>
        <v>3803370</v>
      </c>
      <c r="J626" s="30" t="e">
        <f>#REF!</f>
        <v>#REF!</v>
      </c>
      <c r="K626" s="30" t="e">
        <f>J626-136716</f>
        <v>#REF!</v>
      </c>
      <c r="L626" s="30" t="e">
        <f>J626-K626</f>
        <v>#REF!</v>
      </c>
    </row>
    <row r="627" spans="1:13" s="31" customFormat="1" ht="18">
      <c r="A627" s="370"/>
      <c r="B627" s="98" t="s">
        <v>11</v>
      </c>
      <c r="C627" s="98">
        <f>E627/D627</f>
        <v>0.11931330472103005</v>
      </c>
      <c r="D627" s="17">
        <v>233</v>
      </c>
      <c r="E627" s="190">
        <v>27.8</v>
      </c>
      <c r="F627" s="98" t="s">
        <v>1</v>
      </c>
      <c r="G627" s="99">
        <v>21525</v>
      </c>
      <c r="H627" s="39">
        <f>E627*G627</f>
        <v>598395</v>
      </c>
      <c r="I627" s="71" t="s">
        <v>2</v>
      </c>
      <c r="K627" s="72" t="e">
        <f>H626-K626</f>
        <v>#REF!</v>
      </c>
    </row>
    <row r="628" spans="1:13" s="31" customFormat="1" ht="18">
      <c r="A628" s="374" t="s">
        <v>135</v>
      </c>
      <c r="B628" s="17" t="s">
        <v>42</v>
      </c>
      <c r="C628" s="17">
        <f>E628/D628</f>
        <v>6.1373390557939916E-2</v>
      </c>
      <c r="D628" s="17">
        <v>233</v>
      </c>
      <c r="E628" s="42">
        <v>14.3</v>
      </c>
      <c r="F628" s="17" t="s">
        <v>4</v>
      </c>
      <c r="G628" s="18">
        <v>162000</v>
      </c>
      <c r="H628" s="19">
        <f>E628*G628</f>
        <v>2316600</v>
      </c>
    </row>
    <row r="629" spans="1:13" s="31" customFormat="1" ht="18">
      <c r="A629" s="370"/>
      <c r="B629" s="17" t="s">
        <v>43</v>
      </c>
      <c r="C629" s="17">
        <f t="shared" ref="C629:C632" si="88">E629/D629</f>
        <v>0.55793991416309008</v>
      </c>
      <c r="D629" s="17">
        <v>233</v>
      </c>
      <c r="E629" s="42">
        <v>130</v>
      </c>
      <c r="F629" s="17" t="s">
        <v>3</v>
      </c>
      <c r="G629" s="18">
        <v>3456</v>
      </c>
      <c r="H629" s="19">
        <f t="shared" ref="H629:H633" si="89">E629*G629</f>
        <v>449280</v>
      </c>
      <c r="I629" s="44"/>
      <c r="J629" s="72">
        <f>H620+H625</f>
        <v>275100</v>
      </c>
    </row>
    <row r="630" spans="1:13" s="31" customFormat="1" ht="18">
      <c r="A630" s="370"/>
      <c r="B630" s="17" t="s">
        <v>44</v>
      </c>
      <c r="C630" s="17">
        <f t="shared" si="88"/>
        <v>2.1459227467811159E-2</v>
      </c>
      <c r="D630" s="17">
        <v>233</v>
      </c>
      <c r="E630" s="42">
        <v>5</v>
      </c>
      <c r="F630" s="17" t="s">
        <v>1</v>
      </c>
      <c r="G630" s="18">
        <v>31500</v>
      </c>
      <c r="H630" s="19">
        <f t="shared" si="89"/>
        <v>157500</v>
      </c>
      <c r="I630" s="44"/>
    </row>
    <row r="631" spans="1:13" s="31" customFormat="1" ht="20.399999999999999">
      <c r="A631" s="370"/>
      <c r="B631" s="17" t="s">
        <v>13</v>
      </c>
      <c r="C631" s="17">
        <f t="shared" si="88"/>
        <v>4.2918454935622317E-3</v>
      </c>
      <c r="D631" s="17">
        <v>233</v>
      </c>
      <c r="E631" s="42">
        <v>1</v>
      </c>
      <c r="F631" s="17" t="s">
        <v>1</v>
      </c>
      <c r="G631" s="18">
        <v>173250</v>
      </c>
      <c r="H631" s="19">
        <f t="shared" si="89"/>
        <v>173250</v>
      </c>
      <c r="I631" s="65"/>
      <c r="J631" s="31">
        <v>275100</v>
      </c>
      <c r="K631" s="72">
        <f>J631-H620</f>
        <v>138600</v>
      </c>
    </row>
    <row r="632" spans="1:13" s="31" customFormat="1" ht="18">
      <c r="A632" s="370"/>
      <c r="B632" s="17" t="s">
        <v>119</v>
      </c>
      <c r="C632" s="17">
        <f t="shared" si="88"/>
        <v>2.7467811158798285E-2</v>
      </c>
      <c r="D632" s="17">
        <v>233</v>
      </c>
      <c r="E632" s="42">
        <v>6.4</v>
      </c>
      <c r="F632" s="17" t="s">
        <v>1</v>
      </c>
      <c r="G632" s="18">
        <v>18900</v>
      </c>
      <c r="H632" s="19">
        <f t="shared" si="89"/>
        <v>120960</v>
      </c>
    </row>
    <row r="633" spans="1:13" s="31" customFormat="1" ht="18">
      <c r="A633" s="370"/>
      <c r="B633" s="17" t="s">
        <v>12</v>
      </c>
      <c r="C633" s="17"/>
      <c r="D633" s="17"/>
      <c r="E633" s="42">
        <v>0.1</v>
      </c>
      <c r="F633" s="17" t="s">
        <v>1</v>
      </c>
      <c r="G633" s="18">
        <v>60900</v>
      </c>
      <c r="H633" s="19">
        <f t="shared" si="89"/>
        <v>6090</v>
      </c>
    </row>
    <row r="634" spans="1:13" s="31" customFormat="1" ht="18">
      <c r="A634" s="370"/>
      <c r="B634" s="17" t="s">
        <v>41</v>
      </c>
      <c r="C634" s="17"/>
      <c r="D634" s="17"/>
      <c r="E634" s="193">
        <v>0.1</v>
      </c>
      <c r="F634" s="17" t="s">
        <v>1</v>
      </c>
      <c r="G634" s="18">
        <v>42000</v>
      </c>
      <c r="H634" s="19">
        <v>4200</v>
      </c>
    </row>
    <row r="635" spans="1:13" s="31" customFormat="1" ht="18">
      <c r="A635" s="370"/>
      <c r="B635" s="78"/>
      <c r="C635" s="79"/>
      <c r="D635" s="79"/>
      <c r="E635" s="79"/>
      <c r="F635" s="79"/>
      <c r="G635" s="80"/>
      <c r="H635" s="81">
        <f>SUM(H627:H634)</f>
        <v>3826275</v>
      </c>
      <c r="J635" s="93" t="e">
        <f>#REF!</f>
        <v>#REF!</v>
      </c>
      <c r="K635" s="72">
        <f>H635</f>
        <v>3826275</v>
      </c>
      <c r="L635" s="72" t="e">
        <f>J635-K635</f>
        <v>#REF!</v>
      </c>
    </row>
    <row r="636" spans="1:13" s="31" customFormat="1" ht="18">
      <c r="A636" s="370"/>
      <c r="B636" s="12" t="s">
        <v>22</v>
      </c>
      <c r="C636" s="62">
        <f>E636/D636</f>
        <v>0.11931330472103005</v>
      </c>
      <c r="D636" s="12">
        <v>233</v>
      </c>
      <c r="E636" s="194" t="s">
        <v>108</v>
      </c>
      <c r="F636" s="12" t="s">
        <v>1</v>
      </c>
      <c r="G636" s="13">
        <v>21525</v>
      </c>
      <c r="H636" s="14">
        <f>E636*G636</f>
        <v>598395</v>
      </c>
      <c r="I636" s="71" t="s">
        <v>2</v>
      </c>
      <c r="J636" s="72"/>
      <c r="K636" s="72">
        <f>K635-H635</f>
        <v>0</v>
      </c>
    </row>
    <row r="637" spans="1:13" s="31" customFormat="1" ht="18">
      <c r="A637" s="29"/>
      <c r="B637" s="17" t="s">
        <v>87</v>
      </c>
      <c r="C637" s="48">
        <f>E637/D637</f>
        <v>7.5965665236051499E-2</v>
      </c>
      <c r="D637" s="17">
        <v>233</v>
      </c>
      <c r="E637" s="58">
        <v>17.7</v>
      </c>
      <c r="F637" s="17" t="s">
        <v>1</v>
      </c>
      <c r="G637" s="18">
        <v>125580</v>
      </c>
      <c r="H637" s="19">
        <f>E637*G637</f>
        <v>2222766</v>
      </c>
      <c r="K637" s="72"/>
    </row>
    <row r="638" spans="1:13" s="31" customFormat="1" ht="18">
      <c r="A638" s="374" t="s">
        <v>136</v>
      </c>
      <c r="B638" s="17" t="s">
        <v>36</v>
      </c>
      <c r="C638" s="48">
        <f t="shared" ref="C638:C640" si="90">E638/D638</f>
        <v>3.0042918454935622E-2</v>
      </c>
      <c r="D638" s="17">
        <v>233</v>
      </c>
      <c r="E638" s="54" t="s">
        <v>131</v>
      </c>
      <c r="F638" s="17" t="s">
        <v>1</v>
      </c>
      <c r="G638" s="18">
        <v>67200</v>
      </c>
      <c r="H638" s="19">
        <f>E638*G638</f>
        <v>470400</v>
      </c>
    </row>
    <row r="639" spans="1:13" s="31" customFormat="1" ht="18">
      <c r="A639" s="370"/>
      <c r="B639" s="17" t="s">
        <v>78</v>
      </c>
      <c r="C639" s="48">
        <f t="shared" si="90"/>
        <v>1.2875536480686695E-2</v>
      </c>
      <c r="D639" s="17">
        <v>233</v>
      </c>
      <c r="E639" s="54" t="s">
        <v>48</v>
      </c>
      <c r="F639" s="17" t="s">
        <v>1</v>
      </c>
      <c r="G639" s="18">
        <v>78750</v>
      </c>
      <c r="H639" s="19">
        <f t="shared" ref="H639:H643" si="91">E639*G639</f>
        <v>236250</v>
      </c>
    </row>
    <row r="640" spans="1:13" s="31" customFormat="1" ht="18">
      <c r="A640" s="370"/>
      <c r="B640" s="17" t="s">
        <v>79</v>
      </c>
      <c r="C640" s="48">
        <f t="shared" si="90"/>
        <v>5.5793991416309016E-2</v>
      </c>
      <c r="D640" s="17">
        <v>233</v>
      </c>
      <c r="E640" s="54" t="s">
        <v>80</v>
      </c>
      <c r="F640" s="17" t="s">
        <v>1</v>
      </c>
      <c r="G640" s="18">
        <v>20478</v>
      </c>
      <c r="H640" s="19">
        <f t="shared" si="91"/>
        <v>266214</v>
      </c>
      <c r="J640" s="72" t="e">
        <f>#REF!</f>
        <v>#REF!</v>
      </c>
      <c r="K640" s="72" t="e">
        <f>#REF!</f>
        <v>#REF!</v>
      </c>
      <c r="L640" s="72">
        <f>H644</f>
        <v>3811853.9</v>
      </c>
      <c r="M640" s="72" t="e">
        <f>K640-L640</f>
        <v>#REF!</v>
      </c>
    </row>
    <row r="641" spans="1:13" s="31" customFormat="1" ht="18">
      <c r="A641" s="370"/>
      <c r="B641" s="17" t="s">
        <v>81</v>
      </c>
      <c r="C641" s="48"/>
      <c r="D641" s="17">
        <v>233</v>
      </c>
      <c r="E641" s="54" t="s">
        <v>46</v>
      </c>
      <c r="F641" s="17" t="s">
        <v>1</v>
      </c>
      <c r="G641" s="18">
        <v>68040</v>
      </c>
      <c r="H641" s="19">
        <f t="shared" si="91"/>
        <v>6804</v>
      </c>
      <c r="K641" s="72" t="e">
        <f>H644-K640</f>
        <v>#REF!</v>
      </c>
    </row>
    <row r="642" spans="1:13" s="31" customFormat="1" ht="18">
      <c r="A642" s="370"/>
      <c r="B642" s="17" t="s">
        <v>66</v>
      </c>
      <c r="C642" s="48"/>
      <c r="D642" s="17">
        <v>233</v>
      </c>
      <c r="E642" s="54" t="s">
        <v>46</v>
      </c>
      <c r="F642" s="17" t="s">
        <v>1</v>
      </c>
      <c r="G642" s="18">
        <v>60900</v>
      </c>
      <c r="H642" s="19">
        <f t="shared" si="91"/>
        <v>6090</v>
      </c>
      <c r="M642" s="72" t="e">
        <f>H643-M640</f>
        <v>#REF!</v>
      </c>
    </row>
    <row r="643" spans="1:13" s="31" customFormat="1" ht="18">
      <c r="A643" s="370"/>
      <c r="B643" s="17" t="s">
        <v>82</v>
      </c>
      <c r="C643" s="48"/>
      <c r="D643" s="17">
        <v>233</v>
      </c>
      <c r="E643" s="54" t="s">
        <v>46</v>
      </c>
      <c r="F643" s="17" t="s">
        <v>1</v>
      </c>
      <c r="G643" s="18">
        <v>49349</v>
      </c>
      <c r="H643" s="19">
        <f t="shared" si="91"/>
        <v>4934.9000000000005</v>
      </c>
      <c r="J643" s="72" t="e">
        <f>#REF!</f>
        <v>#REF!</v>
      </c>
      <c r="K643" s="72" t="e">
        <f>J643-136716</f>
        <v>#REF!</v>
      </c>
    </row>
    <row r="644" spans="1:13" ht="18">
      <c r="A644" s="370"/>
      <c r="B644" s="3"/>
      <c r="C644" s="50"/>
      <c r="D644" s="2"/>
      <c r="E644" s="195"/>
      <c r="F644" s="5"/>
      <c r="G644" s="2"/>
      <c r="H644" s="26">
        <f>SUM(H636:H643)</f>
        <v>3811853.9</v>
      </c>
      <c r="J644" s="97" t="e">
        <f>#REF!</f>
        <v>#REF!</v>
      </c>
      <c r="K644" s="97" t="e">
        <f>J644-136716</f>
        <v>#REF!</v>
      </c>
    </row>
    <row r="645" spans="1:13">
      <c r="A645" s="370"/>
    </row>
    <row r="646" spans="1:13" s="43" customFormat="1">
      <c r="C646" s="106"/>
      <c r="E646" s="106"/>
    </row>
    <row r="656" spans="1:13" ht="15.6">
      <c r="A656" s="6" t="s">
        <v>0</v>
      </c>
      <c r="B656" s="6"/>
    </row>
    <row r="657" spans="1:21" ht="26.4" customHeight="1">
      <c r="A657" s="375" t="s">
        <v>56</v>
      </c>
      <c r="B657" s="375"/>
      <c r="C657" s="375"/>
      <c r="D657" s="375"/>
      <c r="E657" s="375"/>
      <c r="F657" s="375"/>
      <c r="G657" s="375"/>
      <c r="H657" s="375"/>
    </row>
    <row r="658" spans="1:21" ht="26.4" customHeight="1">
      <c r="A658" s="87"/>
      <c r="B658" s="376" t="s">
        <v>127</v>
      </c>
      <c r="C658" s="376"/>
      <c r="D658" s="376"/>
      <c r="E658" s="376"/>
      <c r="F658" s="376"/>
      <c r="G658" s="376"/>
      <c r="H658" s="376"/>
    </row>
    <row r="659" spans="1:21" ht="40.799999999999997">
      <c r="A659" s="7" t="s">
        <v>15</v>
      </c>
      <c r="B659" s="8" t="s">
        <v>16</v>
      </c>
      <c r="C659" s="9" t="s">
        <v>17</v>
      </c>
      <c r="D659" s="10" t="s">
        <v>18</v>
      </c>
      <c r="E659" s="7" t="s">
        <v>19</v>
      </c>
      <c r="F659" s="11" t="s">
        <v>5</v>
      </c>
      <c r="G659" s="7" t="s">
        <v>20</v>
      </c>
      <c r="H659" s="7" t="s">
        <v>21</v>
      </c>
      <c r="O659" s="12" t="s">
        <v>22</v>
      </c>
      <c r="P659" s="100">
        <f>R659/Q659</f>
        <v>0.11939655172413793</v>
      </c>
      <c r="Q659" s="12">
        <v>232</v>
      </c>
      <c r="R659" s="53" t="s">
        <v>121</v>
      </c>
      <c r="S659" s="12" t="s">
        <v>1</v>
      </c>
      <c r="T659" s="13">
        <v>21525</v>
      </c>
      <c r="U659" s="14">
        <f>T659*R659</f>
        <v>596242.5</v>
      </c>
    </row>
    <row r="660" spans="1:21" ht="18">
      <c r="A660" s="383">
        <v>2</v>
      </c>
      <c r="B660" s="12" t="s">
        <v>22</v>
      </c>
      <c r="C660" s="101">
        <f>E660/D660</f>
        <v>0.11939655172413793</v>
      </c>
      <c r="D660" s="17">
        <v>232</v>
      </c>
      <c r="E660" s="53" t="s">
        <v>121</v>
      </c>
      <c r="F660" s="67" t="s">
        <v>1</v>
      </c>
      <c r="G660" s="13">
        <v>21525</v>
      </c>
      <c r="H660" s="14">
        <f>E660*G660</f>
        <v>596242.5</v>
      </c>
      <c r="I660" s="43" t="s">
        <v>2</v>
      </c>
      <c r="O660" s="17" t="s">
        <v>6</v>
      </c>
      <c r="P660" s="101">
        <f>R660/Q660</f>
        <v>6.5236051502145925E-2</v>
      </c>
      <c r="Q660" s="17">
        <v>233</v>
      </c>
      <c r="R660" s="54" t="s">
        <v>124</v>
      </c>
      <c r="S660" s="17" t="s">
        <v>1</v>
      </c>
      <c r="T660" s="18">
        <v>136500</v>
      </c>
      <c r="U660" s="19">
        <f>T660*R660</f>
        <v>2074800</v>
      </c>
    </row>
    <row r="661" spans="1:21" ht="18">
      <c r="A661" s="384"/>
      <c r="B661" s="38" t="s">
        <v>49</v>
      </c>
      <c r="C661" s="101">
        <f>E661/D661</f>
        <v>3.8362068965517242E-2</v>
      </c>
      <c r="D661" s="17">
        <v>232</v>
      </c>
      <c r="E661" s="58">
        <v>8.9</v>
      </c>
      <c r="F661" s="68" t="s">
        <v>1</v>
      </c>
      <c r="G661" s="18">
        <v>199500</v>
      </c>
      <c r="H661" s="19">
        <f>E661*G661</f>
        <v>1775550</v>
      </c>
      <c r="O661" s="17" t="s">
        <v>34</v>
      </c>
      <c r="P661" s="101">
        <f t="shared" ref="P661:P664" si="92">R661/Q661</f>
        <v>3.004291845493562E-3</v>
      </c>
      <c r="Q661" s="17">
        <v>233</v>
      </c>
      <c r="R661" s="54" t="s">
        <v>35</v>
      </c>
      <c r="S661" s="17" t="s">
        <v>1</v>
      </c>
      <c r="T661" s="18">
        <v>306600</v>
      </c>
      <c r="U661" s="19">
        <f t="shared" ref="U661:U667" si="93">T661*R661</f>
        <v>214620</v>
      </c>
    </row>
    <row r="662" spans="1:21" ht="18">
      <c r="A662" s="384"/>
      <c r="B662" s="17" t="s">
        <v>87</v>
      </c>
      <c r="C662" s="101">
        <f t="shared" ref="C662:C665" si="94">E662/D662</f>
        <v>2.3706896551724137E-2</v>
      </c>
      <c r="D662" s="17">
        <v>232</v>
      </c>
      <c r="E662" s="58">
        <v>5.5</v>
      </c>
      <c r="F662" s="68" t="s">
        <v>1</v>
      </c>
      <c r="G662" s="18">
        <v>123900</v>
      </c>
      <c r="H662" s="19">
        <f t="shared" ref="H662:H668" si="95">E662*G662</f>
        <v>681450</v>
      </c>
      <c r="O662" s="17" t="s">
        <v>36</v>
      </c>
      <c r="P662" s="101">
        <f t="shared" si="92"/>
        <v>3.733905579399141E-2</v>
      </c>
      <c r="Q662" s="17">
        <v>233</v>
      </c>
      <c r="R662" s="54" t="s">
        <v>112</v>
      </c>
      <c r="S662" s="17" t="s">
        <v>1</v>
      </c>
      <c r="T662" s="18">
        <v>67200</v>
      </c>
      <c r="U662" s="19">
        <f t="shared" si="93"/>
        <v>584640</v>
      </c>
    </row>
    <row r="663" spans="1:21" ht="18">
      <c r="A663" s="384"/>
      <c r="B663" s="17" t="s">
        <v>6</v>
      </c>
      <c r="C663" s="101">
        <f t="shared" si="94"/>
        <v>4.3103448275862068E-3</v>
      </c>
      <c r="D663" s="17">
        <v>232</v>
      </c>
      <c r="E663" s="57">
        <v>1</v>
      </c>
      <c r="F663" s="68" t="s">
        <v>1</v>
      </c>
      <c r="G663" s="18">
        <v>136500</v>
      </c>
      <c r="H663" s="19">
        <f t="shared" si="95"/>
        <v>136500</v>
      </c>
      <c r="O663" s="17" t="s">
        <v>6</v>
      </c>
      <c r="P663" s="101">
        <f t="shared" si="92"/>
        <v>4.2918454935622317E-3</v>
      </c>
      <c r="Q663" s="17">
        <v>233</v>
      </c>
      <c r="R663" s="46">
        <v>1</v>
      </c>
      <c r="S663" s="17" t="s">
        <v>1</v>
      </c>
      <c r="T663" s="18">
        <v>136500</v>
      </c>
      <c r="U663" s="19">
        <f t="shared" si="93"/>
        <v>136500</v>
      </c>
    </row>
    <row r="664" spans="1:21" ht="18">
      <c r="A664" s="384"/>
      <c r="B664" s="17" t="s">
        <v>9</v>
      </c>
      <c r="C664" s="101">
        <f t="shared" si="94"/>
        <v>4.3103448275862068E-3</v>
      </c>
      <c r="D664" s="17">
        <v>232</v>
      </c>
      <c r="E664" s="59">
        <v>1</v>
      </c>
      <c r="F664" s="68" t="s">
        <v>1</v>
      </c>
      <c r="G664" s="18">
        <v>36720</v>
      </c>
      <c r="H664" s="19">
        <f t="shared" si="95"/>
        <v>36720</v>
      </c>
      <c r="O664" s="17" t="s">
        <v>77</v>
      </c>
      <c r="P664" s="101">
        <f t="shared" si="92"/>
        <v>3.4334763948497854E-2</v>
      </c>
      <c r="Q664" s="17">
        <v>233</v>
      </c>
      <c r="R664" s="46">
        <v>8</v>
      </c>
      <c r="S664" s="17" t="s">
        <v>1</v>
      </c>
      <c r="T664" s="18">
        <v>23100</v>
      </c>
      <c r="U664" s="19">
        <f t="shared" si="93"/>
        <v>184800</v>
      </c>
    </row>
    <row r="665" spans="1:21" ht="18">
      <c r="A665" s="384"/>
      <c r="B665" s="17" t="s">
        <v>31</v>
      </c>
      <c r="C665" s="101">
        <f t="shared" si="94"/>
        <v>3.6637931034482756E-2</v>
      </c>
      <c r="D665" s="17">
        <v>232</v>
      </c>
      <c r="E665" s="57">
        <v>8.5</v>
      </c>
      <c r="F665" s="68" t="s">
        <v>1</v>
      </c>
      <c r="G665" s="18">
        <v>49350</v>
      </c>
      <c r="H665" s="19">
        <f>E665*G665</f>
        <v>419475</v>
      </c>
      <c r="I665" s="30" t="e">
        <f>H665-#REF!</f>
        <v>#REF!</v>
      </c>
      <c r="J665" s="30">
        <f>H666+H663</f>
        <v>287700</v>
      </c>
      <c r="K665" s="37"/>
      <c r="N665" s="30"/>
      <c r="O665" s="35"/>
      <c r="P665" s="49"/>
      <c r="Q665" s="17"/>
      <c r="R665" s="63"/>
      <c r="S665" s="17"/>
      <c r="T665" s="36"/>
      <c r="U665" s="19"/>
    </row>
    <row r="666" spans="1:21" ht="18">
      <c r="A666" s="384"/>
      <c r="B666" s="17" t="s">
        <v>120</v>
      </c>
      <c r="C666" s="48"/>
      <c r="D666" s="17"/>
      <c r="E666" s="57">
        <v>8</v>
      </c>
      <c r="F666" s="68" t="s">
        <v>1</v>
      </c>
      <c r="G666" s="36">
        <v>18900</v>
      </c>
      <c r="H666" s="19">
        <f t="shared" si="95"/>
        <v>151200</v>
      </c>
      <c r="K666" s="37"/>
      <c r="N666" s="30"/>
      <c r="O666" s="35"/>
      <c r="P666" s="49"/>
      <c r="Q666" s="17"/>
      <c r="R666" s="63"/>
      <c r="S666" s="17"/>
      <c r="T666" s="36"/>
      <c r="U666" s="19"/>
    </row>
    <row r="667" spans="1:21" ht="18">
      <c r="A667" s="384"/>
      <c r="B667" s="17" t="s">
        <v>12</v>
      </c>
      <c r="C667" s="76"/>
      <c r="D667" s="17"/>
      <c r="E667" s="59">
        <v>0.1</v>
      </c>
      <c r="F667" s="68" t="s">
        <v>1</v>
      </c>
      <c r="G667" s="18">
        <v>60900</v>
      </c>
      <c r="H667" s="19">
        <f t="shared" si="95"/>
        <v>6090</v>
      </c>
      <c r="K667" s="37"/>
      <c r="O667" s="20" t="s">
        <v>41</v>
      </c>
      <c r="P667" s="49"/>
      <c r="Q667" s="17">
        <v>233</v>
      </c>
      <c r="R667" s="63" t="s">
        <v>46</v>
      </c>
      <c r="S667" s="17" t="s">
        <v>1</v>
      </c>
      <c r="T667" s="36">
        <v>42000</v>
      </c>
      <c r="U667" s="19">
        <f t="shared" si="93"/>
        <v>4200</v>
      </c>
    </row>
    <row r="668" spans="1:21" ht="18">
      <c r="A668" s="384"/>
      <c r="B668" s="17" t="s">
        <v>51</v>
      </c>
      <c r="C668" s="76"/>
      <c r="D668" s="17"/>
      <c r="E668" s="59">
        <v>0.1</v>
      </c>
      <c r="F668" s="68" t="s">
        <v>1</v>
      </c>
      <c r="G668" s="36">
        <v>42000</v>
      </c>
      <c r="H668" s="19">
        <f t="shared" si="95"/>
        <v>4200</v>
      </c>
      <c r="J668" s="97" t="e">
        <f>#REF!</f>
        <v>#REF!</v>
      </c>
      <c r="K668" s="97" t="e">
        <f>J668-136716</f>
        <v>#REF!</v>
      </c>
      <c r="L668" s="30">
        <f>H669</f>
        <v>3807427.5</v>
      </c>
      <c r="M668" s="30" t="e">
        <f>H669-K668</f>
        <v>#REF!</v>
      </c>
    </row>
    <row r="669" spans="1:21" ht="18">
      <c r="A669" s="385"/>
      <c r="B669" s="371"/>
      <c r="C669" s="372"/>
      <c r="D669" s="372"/>
      <c r="E669" s="372"/>
      <c r="F669" s="372"/>
      <c r="G669" s="373"/>
      <c r="H669" s="26">
        <f>SUM(H660:H668)</f>
        <v>3807427.5</v>
      </c>
      <c r="J669" t="s">
        <v>71</v>
      </c>
      <c r="K669">
        <v>22050</v>
      </c>
      <c r="L669" s="37">
        <f>K669*5</f>
        <v>110250</v>
      </c>
    </row>
    <row r="670" spans="1:21" ht="18">
      <c r="A670" s="383">
        <v>3</v>
      </c>
      <c r="B670" s="12" t="s">
        <v>22</v>
      </c>
      <c r="C670" s="100">
        <f>E670/D670</f>
        <v>0.11931330472103005</v>
      </c>
      <c r="D670" s="12">
        <v>233</v>
      </c>
      <c r="E670" s="53" t="s">
        <v>108</v>
      </c>
      <c r="F670" s="12" t="s">
        <v>1</v>
      </c>
      <c r="G670" s="13">
        <v>21525</v>
      </c>
      <c r="H670" s="14">
        <f>G670*E670</f>
        <v>598395</v>
      </c>
      <c r="I670" s="43" t="s">
        <v>2</v>
      </c>
      <c r="J670" t="s">
        <v>39</v>
      </c>
      <c r="K670" t="s">
        <v>40</v>
      </c>
      <c r="L670" s="37">
        <f>136500*1</f>
        <v>136500</v>
      </c>
    </row>
    <row r="671" spans="1:21" ht="18">
      <c r="A671" s="384"/>
      <c r="B671" s="17" t="s">
        <v>6</v>
      </c>
      <c r="C671" s="101">
        <f>E671/D671</f>
        <v>6.5665236051502152E-2</v>
      </c>
      <c r="D671" s="17">
        <v>233</v>
      </c>
      <c r="E671" s="54" t="s">
        <v>113</v>
      </c>
      <c r="F671" s="17" t="s">
        <v>1</v>
      </c>
      <c r="G671" s="18">
        <v>136500</v>
      </c>
      <c r="H671" s="19">
        <f>G671*E671</f>
        <v>2088450</v>
      </c>
      <c r="J671" t="s">
        <v>70</v>
      </c>
      <c r="K671">
        <v>39900</v>
      </c>
      <c r="L671" s="37">
        <f>K671*3</f>
        <v>119700</v>
      </c>
    </row>
    <row r="672" spans="1:21" ht="18">
      <c r="A672" s="384"/>
      <c r="B672" s="17" t="s">
        <v>34</v>
      </c>
      <c r="C672" s="101">
        <f t="shared" ref="C672:C675" si="96">E672/D672</f>
        <v>3.004291845493562E-3</v>
      </c>
      <c r="D672" s="17">
        <v>233</v>
      </c>
      <c r="E672" s="54" t="s">
        <v>35</v>
      </c>
      <c r="F672" s="17" t="s">
        <v>1</v>
      </c>
      <c r="G672" s="18">
        <v>306600</v>
      </c>
      <c r="H672" s="19">
        <f t="shared" ref="H672:H675" si="97">G672*E672</f>
        <v>214620</v>
      </c>
      <c r="J672" t="s">
        <v>66</v>
      </c>
      <c r="K672">
        <v>60900</v>
      </c>
      <c r="L672" s="37">
        <f>K672*0.1</f>
        <v>6090</v>
      </c>
    </row>
    <row r="673" spans="1:12" ht="18">
      <c r="A673" s="384"/>
      <c r="B673" s="17" t="s">
        <v>36</v>
      </c>
      <c r="C673" s="101">
        <f t="shared" si="96"/>
        <v>3.7768240343347644E-2</v>
      </c>
      <c r="D673" s="17">
        <v>233</v>
      </c>
      <c r="E673" s="54" t="s">
        <v>125</v>
      </c>
      <c r="F673" s="17" t="s">
        <v>1</v>
      </c>
      <c r="G673" s="18">
        <v>67200</v>
      </c>
      <c r="H673" s="19">
        <f t="shared" si="97"/>
        <v>591360</v>
      </c>
      <c r="J673" t="s">
        <v>67</v>
      </c>
      <c r="K673">
        <v>42000</v>
      </c>
      <c r="L673" s="51">
        <f>K673*0.1</f>
        <v>4200</v>
      </c>
    </row>
    <row r="674" spans="1:12" ht="18">
      <c r="A674" s="384"/>
      <c r="B674" s="17" t="s">
        <v>6</v>
      </c>
      <c r="C674" s="101">
        <f t="shared" si="96"/>
        <v>4.2918454935622317E-3</v>
      </c>
      <c r="D674" s="17">
        <v>233</v>
      </c>
      <c r="E674" s="57">
        <v>1</v>
      </c>
      <c r="F674" s="17" t="s">
        <v>1</v>
      </c>
      <c r="G674" s="18">
        <v>136500</v>
      </c>
      <c r="H674" s="19">
        <f t="shared" si="97"/>
        <v>136500</v>
      </c>
    </row>
    <row r="675" spans="1:12" ht="16.8" customHeight="1">
      <c r="A675" s="384"/>
      <c r="B675" s="17" t="s">
        <v>77</v>
      </c>
      <c r="C675" s="101">
        <f t="shared" si="96"/>
        <v>3.4334763948497854E-2</v>
      </c>
      <c r="D675" s="17">
        <v>233</v>
      </c>
      <c r="E675" s="57">
        <v>8</v>
      </c>
      <c r="F675" s="17" t="s">
        <v>1</v>
      </c>
      <c r="G675" s="18">
        <v>23100</v>
      </c>
      <c r="H675" s="19">
        <f t="shared" si="97"/>
        <v>184800</v>
      </c>
      <c r="J675" s="30">
        <f>H674+H675</f>
        <v>321300</v>
      </c>
    </row>
    <row r="676" spans="1:12" ht="16.8" customHeight="1">
      <c r="A676" s="384"/>
      <c r="B676" s="17" t="s">
        <v>12</v>
      </c>
      <c r="C676" s="76"/>
      <c r="D676" s="17"/>
      <c r="E676" s="59">
        <v>0.1</v>
      </c>
      <c r="F676" s="68" t="s">
        <v>1</v>
      </c>
      <c r="G676" s="18">
        <v>60900</v>
      </c>
      <c r="H676" s="19">
        <f t="shared" ref="H676" si="98">E676*G676</f>
        <v>6090</v>
      </c>
      <c r="J676" s="30"/>
    </row>
    <row r="677" spans="1:12" ht="18">
      <c r="A677" s="384"/>
      <c r="B677" s="20" t="s">
        <v>41</v>
      </c>
      <c r="C677" s="49"/>
      <c r="D677" s="17">
        <v>233</v>
      </c>
      <c r="E677" s="55" t="s">
        <v>46</v>
      </c>
      <c r="F677" s="17" t="s">
        <v>1</v>
      </c>
      <c r="G677" s="36">
        <v>42000</v>
      </c>
      <c r="H677" s="19">
        <f t="shared" ref="H677" si="99">G677*E677</f>
        <v>4200</v>
      </c>
      <c r="I677" s="30"/>
      <c r="J677" s="97" t="e">
        <f>#REF!</f>
        <v>#REF!</v>
      </c>
      <c r="K677" s="30">
        <f>H678</f>
        <v>3824415</v>
      </c>
      <c r="L677" s="30" t="e">
        <f>J677-K677</f>
        <v>#REF!</v>
      </c>
    </row>
    <row r="678" spans="1:12" ht="18">
      <c r="A678" s="385"/>
      <c r="B678" s="371"/>
      <c r="C678" s="372"/>
      <c r="D678" s="372"/>
      <c r="E678" s="372"/>
      <c r="F678" s="372"/>
      <c r="G678" s="373"/>
      <c r="H678" s="26">
        <f>SUM(H670:H677)</f>
        <v>3824415</v>
      </c>
      <c r="J678" s="30" t="e">
        <f>#REF!</f>
        <v>#REF!</v>
      </c>
      <c r="K678" s="30" t="e">
        <f>J678-136000</f>
        <v>#REF!</v>
      </c>
      <c r="L678" s="30" t="e">
        <f>L677-#REF!</f>
        <v>#REF!</v>
      </c>
    </row>
    <row r="679" spans="1:12" ht="18">
      <c r="A679" s="383">
        <v>4</v>
      </c>
      <c r="B679" s="2" t="s">
        <v>22</v>
      </c>
      <c r="C679" s="89">
        <f>E679/D679</f>
        <v>0.11931330472103005</v>
      </c>
      <c r="D679" s="12">
        <v>233</v>
      </c>
      <c r="E679" s="194" t="s">
        <v>108</v>
      </c>
      <c r="F679" s="3" t="s">
        <v>1</v>
      </c>
      <c r="G679" s="4">
        <v>21525</v>
      </c>
      <c r="H679" s="5">
        <f>E679*G679</f>
        <v>598395</v>
      </c>
      <c r="I679" s="43" t="s">
        <v>2</v>
      </c>
      <c r="K679" s="37"/>
    </row>
    <row r="680" spans="1:12" ht="18">
      <c r="A680" s="384"/>
      <c r="B680" s="15" t="s">
        <v>52</v>
      </c>
      <c r="C680" s="91">
        <f t="shared" ref="C680:C682" si="100">E680/D680</f>
        <v>6.9957081545064387E-2</v>
      </c>
      <c r="D680" s="17">
        <v>233</v>
      </c>
      <c r="E680" s="196" t="s">
        <v>128</v>
      </c>
      <c r="F680" s="82" t="s">
        <v>1</v>
      </c>
      <c r="G680" s="83">
        <v>156600</v>
      </c>
      <c r="H680" s="16">
        <f t="shared" ref="H680:H683" si="101">E680*G680</f>
        <v>2552580</v>
      </c>
      <c r="J680" t="e">
        <f>#REF!</f>
        <v>#REF!</v>
      </c>
      <c r="K680" t="e">
        <f>J680-136716</f>
        <v>#REF!</v>
      </c>
      <c r="L680" s="30" t="e">
        <f>H678-K680</f>
        <v>#REF!</v>
      </c>
    </row>
    <row r="681" spans="1:12" ht="18">
      <c r="A681" s="384"/>
      <c r="B681" s="15" t="s">
        <v>53</v>
      </c>
      <c r="C681" s="90">
        <f t="shared" si="100"/>
        <v>6.4377682403433473E-2</v>
      </c>
      <c r="D681" s="17">
        <v>233</v>
      </c>
      <c r="E681" s="191" t="s">
        <v>92</v>
      </c>
      <c r="F681" s="68" t="s">
        <v>1</v>
      </c>
      <c r="G681" s="73">
        <v>21000</v>
      </c>
      <c r="H681" s="16">
        <f t="shared" si="101"/>
        <v>315000</v>
      </c>
    </row>
    <row r="682" spans="1:12" ht="18">
      <c r="A682" s="384"/>
      <c r="B682" s="15" t="s">
        <v>6</v>
      </c>
      <c r="C682" s="90">
        <f t="shared" si="100"/>
        <v>4.2918454935622317E-3</v>
      </c>
      <c r="D682" s="17">
        <v>233</v>
      </c>
      <c r="E682" s="191" t="s">
        <v>26</v>
      </c>
      <c r="F682" s="68" t="s">
        <v>1</v>
      </c>
      <c r="G682" s="73">
        <v>136500</v>
      </c>
      <c r="H682" s="16">
        <f t="shared" si="101"/>
        <v>136500</v>
      </c>
    </row>
    <row r="683" spans="1:12" ht="18">
      <c r="A683" s="384"/>
      <c r="B683" s="17" t="s">
        <v>55</v>
      </c>
      <c r="C683" s="82"/>
      <c r="D683" s="17">
        <v>233</v>
      </c>
      <c r="E683" s="42">
        <v>0.1</v>
      </c>
      <c r="F683" s="17" t="s">
        <v>1</v>
      </c>
      <c r="G683" s="18">
        <v>60900</v>
      </c>
      <c r="H683" s="19">
        <f t="shared" si="101"/>
        <v>6090</v>
      </c>
      <c r="J683" s="30" t="e">
        <f>H683+#REF!+#REF!</f>
        <v>#REF!</v>
      </c>
    </row>
    <row r="684" spans="1:12" ht="18">
      <c r="A684" s="384"/>
      <c r="B684" s="15" t="s">
        <v>12</v>
      </c>
      <c r="C684" s="68"/>
      <c r="D684" s="17">
        <v>233</v>
      </c>
      <c r="E684" s="193">
        <v>0.1</v>
      </c>
      <c r="F684" s="17" t="s">
        <v>1</v>
      </c>
      <c r="G684" s="18">
        <v>42000</v>
      </c>
      <c r="H684" s="19">
        <v>4200</v>
      </c>
      <c r="J684" s="30"/>
    </row>
    <row r="685" spans="1:12" ht="18">
      <c r="A685" s="384"/>
      <c r="B685" s="104" t="s">
        <v>102</v>
      </c>
      <c r="C685" s="105"/>
      <c r="D685" s="12">
        <v>233</v>
      </c>
      <c r="E685" s="57">
        <v>9</v>
      </c>
      <c r="F685" s="17" t="s">
        <v>1</v>
      </c>
      <c r="G685" s="18">
        <v>23100</v>
      </c>
      <c r="H685" s="19">
        <f t="shared" ref="H685" si="102">G685*E685</f>
        <v>207900</v>
      </c>
      <c r="J685" s="30"/>
    </row>
    <row r="686" spans="1:12" ht="18">
      <c r="A686" s="384"/>
      <c r="B686" s="17"/>
      <c r="C686" s="42"/>
      <c r="D686" s="20"/>
      <c r="E686" s="192"/>
      <c r="F686" s="27"/>
      <c r="G686" s="18"/>
      <c r="H686" s="28">
        <f>SUM(H679:H685)</f>
        <v>3820665</v>
      </c>
      <c r="J686" s="30" t="e">
        <f>#REF!</f>
        <v>#REF!</v>
      </c>
      <c r="K686" s="30" t="e">
        <f>J686-136716</f>
        <v>#REF!</v>
      </c>
      <c r="L686" s="30" t="e">
        <f>J686-K686</f>
        <v>#REF!</v>
      </c>
    </row>
    <row r="687" spans="1:12" s="31" customFormat="1" ht="18">
      <c r="A687" s="381">
        <v>5</v>
      </c>
      <c r="B687" s="98" t="s">
        <v>11</v>
      </c>
      <c r="C687" s="98">
        <f>E687/D687</f>
        <v>0.11931330472103005</v>
      </c>
      <c r="D687" s="17">
        <v>233</v>
      </c>
      <c r="E687" s="190">
        <v>27.8</v>
      </c>
      <c r="F687" s="98" t="s">
        <v>1</v>
      </c>
      <c r="G687" s="99">
        <v>21525</v>
      </c>
      <c r="H687" s="39">
        <f>E687*G687</f>
        <v>598395</v>
      </c>
      <c r="I687" s="71" t="s">
        <v>2</v>
      </c>
      <c r="K687" s="72" t="e">
        <f>H686-K686</f>
        <v>#REF!</v>
      </c>
    </row>
    <row r="688" spans="1:12" s="31" customFormat="1" ht="18">
      <c r="A688" s="382"/>
      <c r="B688" s="17" t="s">
        <v>42</v>
      </c>
      <c r="C688" s="17">
        <f>E688/D688</f>
        <v>6.1373390557939916E-2</v>
      </c>
      <c r="D688" s="17">
        <v>233</v>
      </c>
      <c r="E688" s="42">
        <v>14.3</v>
      </c>
      <c r="F688" s="17" t="s">
        <v>4</v>
      </c>
      <c r="G688" s="18">
        <v>162000</v>
      </c>
      <c r="H688" s="19">
        <f>E688*G688</f>
        <v>2316600</v>
      </c>
    </row>
    <row r="689" spans="1:13" s="31" customFormat="1" ht="18">
      <c r="A689" s="382"/>
      <c r="B689" s="17" t="s">
        <v>43</v>
      </c>
      <c r="C689" s="17">
        <f t="shared" ref="C689:C692" si="103">E689/D689</f>
        <v>0.55793991416309008</v>
      </c>
      <c r="D689" s="17">
        <v>233</v>
      </c>
      <c r="E689" s="42">
        <v>130</v>
      </c>
      <c r="F689" s="17" t="s">
        <v>3</v>
      </c>
      <c r="G689" s="18">
        <v>3456</v>
      </c>
      <c r="H689" s="19">
        <f t="shared" ref="H689:H693" si="104">E689*G689</f>
        <v>449280</v>
      </c>
      <c r="I689" s="44"/>
    </row>
    <row r="690" spans="1:13" s="31" customFormat="1" ht="18">
      <c r="A690" s="382"/>
      <c r="B690" s="17" t="s">
        <v>44</v>
      </c>
      <c r="C690" s="17">
        <f t="shared" si="103"/>
        <v>2.1459227467811159E-2</v>
      </c>
      <c r="D690" s="17">
        <v>233</v>
      </c>
      <c r="E690" s="42">
        <v>5</v>
      </c>
      <c r="F690" s="17" t="s">
        <v>1</v>
      </c>
      <c r="G690" s="18">
        <v>31500</v>
      </c>
      <c r="H690" s="19">
        <f t="shared" si="104"/>
        <v>157500</v>
      </c>
      <c r="I690" s="44"/>
    </row>
    <row r="691" spans="1:13" s="31" customFormat="1" ht="20.399999999999999">
      <c r="A691" s="382"/>
      <c r="B691" s="17" t="s">
        <v>13</v>
      </c>
      <c r="C691" s="17">
        <f t="shared" si="103"/>
        <v>4.2918454935622317E-3</v>
      </c>
      <c r="D691" s="17">
        <v>233</v>
      </c>
      <c r="E691" s="42">
        <v>1</v>
      </c>
      <c r="F691" s="17" t="s">
        <v>1</v>
      </c>
      <c r="G691" s="18">
        <v>173250</v>
      </c>
      <c r="H691" s="19">
        <f t="shared" si="104"/>
        <v>173250</v>
      </c>
      <c r="I691" s="65"/>
    </row>
    <row r="692" spans="1:13" s="31" customFormat="1" ht="18">
      <c r="A692" s="382"/>
      <c r="B692" s="17" t="s">
        <v>119</v>
      </c>
      <c r="C692" s="17">
        <f t="shared" si="103"/>
        <v>2.7467811158798285E-2</v>
      </c>
      <c r="D692" s="17">
        <v>233</v>
      </c>
      <c r="E692" s="42">
        <v>6.4</v>
      </c>
      <c r="F692" s="17" t="s">
        <v>1</v>
      </c>
      <c r="G692" s="18">
        <v>18900</v>
      </c>
      <c r="H692" s="19">
        <f t="shared" si="104"/>
        <v>120960</v>
      </c>
    </row>
    <row r="693" spans="1:13" s="31" customFormat="1" ht="18">
      <c r="A693" s="382"/>
      <c r="B693" s="17" t="s">
        <v>12</v>
      </c>
      <c r="C693" s="17"/>
      <c r="D693" s="17"/>
      <c r="E693" s="42">
        <v>0.1</v>
      </c>
      <c r="F693" s="17" t="s">
        <v>1</v>
      </c>
      <c r="G693" s="18">
        <v>60900</v>
      </c>
      <c r="H693" s="19">
        <f t="shared" si="104"/>
        <v>6090</v>
      </c>
    </row>
    <row r="694" spans="1:13" s="31" customFormat="1" ht="18">
      <c r="A694" s="382"/>
      <c r="B694" s="17" t="s">
        <v>41</v>
      </c>
      <c r="C694" s="17"/>
      <c r="D694" s="17"/>
      <c r="E694" s="193">
        <v>0.1</v>
      </c>
      <c r="F694" s="17" t="s">
        <v>1</v>
      </c>
      <c r="G694" s="18">
        <v>42000</v>
      </c>
      <c r="H694" s="19">
        <v>4200</v>
      </c>
    </row>
    <row r="695" spans="1:13" s="31" customFormat="1" ht="18">
      <c r="A695" s="77"/>
      <c r="B695" s="78"/>
      <c r="C695" s="79"/>
      <c r="D695" s="79"/>
      <c r="E695" s="79"/>
      <c r="F695" s="79"/>
      <c r="G695" s="80"/>
      <c r="H695" s="81">
        <f>SUM(H687:H694)</f>
        <v>3826275</v>
      </c>
      <c r="J695" s="93" t="e">
        <f>#REF!</f>
        <v>#REF!</v>
      </c>
      <c r="K695" s="72" t="e">
        <f>J695-136716</f>
        <v>#REF!</v>
      </c>
      <c r="L695" s="72" t="e">
        <f>J695-K695</f>
        <v>#REF!</v>
      </c>
    </row>
    <row r="696" spans="1:13" s="31" customFormat="1" ht="18">
      <c r="A696" s="381">
        <v>6</v>
      </c>
      <c r="B696" s="12" t="s">
        <v>22</v>
      </c>
      <c r="C696" s="62">
        <f>E696/D696</f>
        <v>0.11931330472103005</v>
      </c>
      <c r="D696" s="12">
        <v>233</v>
      </c>
      <c r="E696" s="194" t="s">
        <v>108</v>
      </c>
      <c r="F696" s="12" t="s">
        <v>1</v>
      </c>
      <c r="G696" s="13">
        <v>21525</v>
      </c>
      <c r="H696" s="14">
        <f>E696*G696</f>
        <v>598395</v>
      </c>
      <c r="I696" s="71" t="s">
        <v>2</v>
      </c>
      <c r="J696" s="72"/>
      <c r="K696" s="72" t="e">
        <f>K695-H695</f>
        <v>#REF!</v>
      </c>
    </row>
    <row r="697" spans="1:13" s="31" customFormat="1" ht="18">
      <c r="A697" s="382"/>
      <c r="B697" s="17" t="s">
        <v>87</v>
      </c>
      <c r="C697" s="48">
        <f>E697/D697</f>
        <v>7.5536480686695287E-2</v>
      </c>
      <c r="D697" s="17">
        <v>233</v>
      </c>
      <c r="E697" s="58">
        <v>17.600000000000001</v>
      </c>
      <c r="F697" s="17" t="s">
        <v>1</v>
      </c>
      <c r="G697" s="18">
        <v>125580</v>
      </c>
      <c r="H697" s="19">
        <f>E697*G697</f>
        <v>2210208</v>
      </c>
      <c r="K697" s="72"/>
    </row>
    <row r="698" spans="1:13" s="31" customFormat="1" ht="18">
      <c r="A698" s="382"/>
      <c r="B698" s="17" t="s">
        <v>36</v>
      </c>
      <c r="C698" s="48">
        <f t="shared" ref="C698:C700" si="105">E698/D698</f>
        <v>3.0472103004291845E-2</v>
      </c>
      <c r="D698" s="17">
        <v>233</v>
      </c>
      <c r="E698" s="54" t="s">
        <v>126</v>
      </c>
      <c r="F698" s="17" t="s">
        <v>1</v>
      </c>
      <c r="G698" s="18">
        <v>67200</v>
      </c>
      <c r="H698" s="19">
        <f>E698*G698</f>
        <v>477120</v>
      </c>
    </row>
    <row r="699" spans="1:13" s="31" customFormat="1" ht="18">
      <c r="A699" s="382"/>
      <c r="B699" s="17" t="s">
        <v>78</v>
      </c>
      <c r="C699" s="48">
        <f t="shared" si="105"/>
        <v>1.2875536480686695E-2</v>
      </c>
      <c r="D699" s="17">
        <v>233</v>
      </c>
      <c r="E699" s="54" t="s">
        <v>48</v>
      </c>
      <c r="F699" s="17" t="s">
        <v>1</v>
      </c>
      <c r="G699" s="18">
        <v>78750</v>
      </c>
      <c r="H699" s="19">
        <f t="shared" ref="H699:H703" si="106">E699*G699</f>
        <v>236250</v>
      </c>
    </row>
    <row r="700" spans="1:13" s="31" customFormat="1" ht="18">
      <c r="A700" s="382"/>
      <c r="B700" s="17" t="s">
        <v>79</v>
      </c>
      <c r="C700" s="48">
        <f t="shared" si="105"/>
        <v>5.5793991416309016E-2</v>
      </c>
      <c r="D700" s="17">
        <v>233</v>
      </c>
      <c r="E700" s="54" t="s">
        <v>80</v>
      </c>
      <c r="F700" s="17" t="s">
        <v>1</v>
      </c>
      <c r="G700" s="18">
        <v>20478</v>
      </c>
      <c r="H700" s="19">
        <f t="shared" si="106"/>
        <v>266214</v>
      </c>
      <c r="J700" s="72" t="e">
        <f>#REF!</f>
        <v>#REF!</v>
      </c>
      <c r="K700" s="72" t="e">
        <f>#REF!</f>
        <v>#REF!</v>
      </c>
      <c r="L700" s="72">
        <f>H704</f>
        <v>3806015.9</v>
      </c>
      <c r="M700" s="72" t="e">
        <f>K700-L700</f>
        <v>#REF!</v>
      </c>
    </row>
    <row r="701" spans="1:13" s="31" customFormat="1" ht="18">
      <c r="A701" s="382"/>
      <c r="B701" s="17" t="s">
        <v>81</v>
      </c>
      <c r="C701" s="48"/>
      <c r="D701" s="17">
        <v>233</v>
      </c>
      <c r="E701" s="54" t="s">
        <v>46</v>
      </c>
      <c r="F701" s="17" t="s">
        <v>1</v>
      </c>
      <c r="G701" s="18">
        <v>68040</v>
      </c>
      <c r="H701" s="19">
        <f t="shared" si="106"/>
        <v>6804</v>
      </c>
      <c r="K701" s="72" t="e">
        <f>H704-K700</f>
        <v>#REF!</v>
      </c>
    </row>
    <row r="702" spans="1:13" s="31" customFormat="1" ht="18">
      <c r="A702" s="382"/>
      <c r="B702" s="17" t="s">
        <v>66</v>
      </c>
      <c r="C702" s="48"/>
      <c r="D702" s="17">
        <v>233</v>
      </c>
      <c r="E702" s="54" t="s">
        <v>46</v>
      </c>
      <c r="F702" s="17" t="s">
        <v>1</v>
      </c>
      <c r="G702" s="18">
        <v>60900</v>
      </c>
      <c r="H702" s="19">
        <f t="shared" si="106"/>
        <v>6090</v>
      </c>
      <c r="M702" s="72" t="e">
        <f>H703-M700</f>
        <v>#REF!</v>
      </c>
    </row>
    <row r="703" spans="1:13" s="31" customFormat="1" ht="18">
      <c r="A703" s="382"/>
      <c r="B703" s="17" t="s">
        <v>82</v>
      </c>
      <c r="C703" s="48"/>
      <c r="D703" s="17">
        <v>233</v>
      </c>
      <c r="E703" s="54" t="s">
        <v>46</v>
      </c>
      <c r="F703" s="17" t="s">
        <v>1</v>
      </c>
      <c r="G703" s="18">
        <v>49349</v>
      </c>
      <c r="H703" s="19">
        <f t="shared" si="106"/>
        <v>4934.9000000000005</v>
      </c>
      <c r="J703" s="72" t="e">
        <f>#REF!</f>
        <v>#REF!</v>
      </c>
      <c r="K703" s="72" t="e">
        <f>J703-136716</f>
        <v>#REF!</v>
      </c>
    </row>
    <row r="704" spans="1:13" ht="18">
      <c r="A704" s="2"/>
      <c r="B704" s="3"/>
      <c r="C704" s="50"/>
      <c r="D704" s="2"/>
      <c r="E704" s="195"/>
      <c r="F704" s="5"/>
      <c r="G704" s="2"/>
      <c r="H704" s="26">
        <f>SUM(H696:H703)</f>
        <v>3806015.9</v>
      </c>
      <c r="J704" t="e">
        <f>#REF!</f>
        <v>#REF!</v>
      </c>
      <c r="K704" s="37" t="e">
        <f>J704-136000</f>
        <v>#REF!</v>
      </c>
    </row>
    <row r="716" spans="1:9" ht="15.6">
      <c r="A716" s="6" t="s">
        <v>0</v>
      </c>
      <c r="B716" s="6"/>
    </row>
    <row r="717" spans="1:9" ht="26.4" customHeight="1">
      <c r="A717" s="375" t="s">
        <v>56</v>
      </c>
      <c r="B717" s="375"/>
      <c r="C717" s="375"/>
      <c r="D717" s="375"/>
      <c r="E717" s="375"/>
      <c r="F717" s="375"/>
      <c r="G717" s="375"/>
      <c r="H717" s="375"/>
    </row>
    <row r="718" spans="1:9" ht="26.4" customHeight="1">
      <c r="A718" s="87"/>
      <c r="B718" s="376" t="s">
        <v>122</v>
      </c>
      <c r="C718" s="376"/>
      <c r="D718" s="376"/>
      <c r="E718" s="376"/>
      <c r="F718" s="376"/>
      <c r="G718" s="376"/>
      <c r="H718" s="376"/>
    </row>
    <row r="719" spans="1:9" ht="40.200000000000003">
      <c r="A719" s="7" t="s">
        <v>15</v>
      </c>
      <c r="B719" s="8" t="s">
        <v>16</v>
      </c>
      <c r="C719" s="9" t="s">
        <v>17</v>
      </c>
      <c r="D719" s="10" t="s">
        <v>18</v>
      </c>
      <c r="E719" s="7" t="s">
        <v>19</v>
      </c>
      <c r="F719" s="11" t="s">
        <v>5</v>
      </c>
      <c r="G719" s="7" t="s">
        <v>20</v>
      </c>
      <c r="H719" s="7" t="s">
        <v>21</v>
      </c>
    </row>
    <row r="720" spans="1:9" ht="18">
      <c r="A720" s="383">
        <v>2</v>
      </c>
      <c r="B720" s="12" t="s">
        <v>22</v>
      </c>
      <c r="C720" s="100">
        <f>E720/D720</f>
        <v>0.11939655172413793</v>
      </c>
      <c r="D720" s="12">
        <v>232</v>
      </c>
      <c r="E720" s="53" t="s">
        <v>121</v>
      </c>
      <c r="F720" s="12" t="s">
        <v>1</v>
      </c>
      <c r="G720" s="13">
        <v>21525</v>
      </c>
      <c r="H720" s="14">
        <f>G720*E720</f>
        <v>596242.5</v>
      </c>
      <c r="I720" s="43" t="s">
        <v>2</v>
      </c>
    </row>
    <row r="721" spans="1:14" ht="18">
      <c r="A721" s="384"/>
      <c r="B721" s="17" t="s">
        <v>6</v>
      </c>
      <c r="C721" s="101">
        <f>E721/D721</f>
        <v>6.5236051502145925E-2</v>
      </c>
      <c r="D721" s="17">
        <v>233</v>
      </c>
      <c r="E721" s="54" t="s">
        <v>124</v>
      </c>
      <c r="F721" s="17" t="s">
        <v>1</v>
      </c>
      <c r="G721" s="18">
        <v>136500</v>
      </c>
      <c r="H721" s="19">
        <f>G721*E721</f>
        <v>2074800</v>
      </c>
    </row>
    <row r="722" spans="1:14" ht="18">
      <c r="A722" s="384"/>
      <c r="B722" s="17" t="s">
        <v>34</v>
      </c>
      <c r="C722" s="101">
        <f t="shared" ref="C722:C725" si="107">E722/D722</f>
        <v>3.004291845493562E-3</v>
      </c>
      <c r="D722" s="17">
        <v>233</v>
      </c>
      <c r="E722" s="54" t="s">
        <v>35</v>
      </c>
      <c r="F722" s="17" t="s">
        <v>1</v>
      </c>
      <c r="G722" s="18">
        <v>306600</v>
      </c>
      <c r="H722" s="19">
        <f t="shared" ref="H722:H727" si="108">G722*E722</f>
        <v>214620</v>
      </c>
    </row>
    <row r="723" spans="1:14" ht="18">
      <c r="A723" s="384"/>
      <c r="B723" s="17" t="s">
        <v>36</v>
      </c>
      <c r="C723" s="101">
        <f t="shared" si="107"/>
        <v>3.733905579399141E-2</v>
      </c>
      <c r="D723" s="17">
        <v>233</v>
      </c>
      <c r="E723" s="54" t="s">
        <v>112</v>
      </c>
      <c r="F723" s="17" t="s">
        <v>1</v>
      </c>
      <c r="G723" s="18">
        <v>67200</v>
      </c>
      <c r="H723" s="19">
        <f t="shared" si="108"/>
        <v>584640</v>
      </c>
    </row>
    <row r="724" spans="1:14" ht="18">
      <c r="A724" s="384"/>
      <c r="B724" s="17" t="s">
        <v>6</v>
      </c>
      <c r="C724" s="101">
        <f t="shared" si="107"/>
        <v>4.2918454935622317E-3</v>
      </c>
      <c r="D724" s="17">
        <v>233</v>
      </c>
      <c r="E724" s="57">
        <v>1</v>
      </c>
      <c r="F724" s="17" t="s">
        <v>1</v>
      </c>
      <c r="G724" s="18">
        <v>136500</v>
      </c>
      <c r="H724" s="19">
        <f t="shared" si="108"/>
        <v>136500</v>
      </c>
    </row>
    <row r="725" spans="1:14" ht="18">
      <c r="A725" s="384"/>
      <c r="B725" s="17" t="s">
        <v>77</v>
      </c>
      <c r="C725" s="101">
        <f t="shared" si="107"/>
        <v>3.4334763948497854E-2</v>
      </c>
      <c r="D725" s="17">
        <v>233</v>
      </c>
      <c r="E725" s="57">
        <v>8</v>
      </c>
      <c r="F725" s="17" t="s">
        <v>1</v>
      </c>
      <c r="G725" s="18">
        <v>23100</v>
      </c>
      <c r="H725" s="19">
        <f t="shared" si="108"/>
        <v>184800</v>
      </c>
      <c r="J725" t="e">
        <f>#REF!</f>
        <v>#REF!</v>
      </c>
      <c r="K725" s="37" t="e">
        <f>J725-136000</f>
        <v>#REF!</v>
      </c>
      <c r="N725" s="30">
        <f>'Dat thuc pham T 02 2025 (3)'!H725-'Dat thuc pham T 02 2025 (3)'!H724</f>
        <v>48300</v>
      </c>
    </row>
    <row r="726" spans="1:14" ht="18">
      <c r="A726" s="384"/>
      <c r="B726" s="17" t="s">
        <v>12</v>
      </c>
      <c r="C726" s="42"/>
      <c r="D726" s="17">
        <v>233</v>
      </c>
      <c r="E726" s="54" t="s">
        <v>46</v>
      </c>
      <c r="F726" s="17" t="s">
        <v>1</v>
      </c>
      <c r="G726" s="18">
        <v>60900</v>
      </c>
      <c r="H726" s="19">
        <f t="shared" si="108"/>
        <v>6090</v>
      </c>
      <c r="K726" s="37"/>
    </row>
    <row r="727" spans="1:14" ht="18">
      <c r="A727" s="384"/>
      <c r="B727" s="20" t="s">
        <v>41</v>
      </c>
      <c r="C727" s="49"/>
      <c r="D727" s="17">
        <v>233</v>
      </c>
      <c r="E727" s="55" t="s">
        <v>46</v>
      </c>
      <c r="F727" s="17" t="s">
        <v>1</v>
      </c>
      <c r="G727" s="36">
        <v>42000</v>
      </c>
      <c r="H727" s="19">
        <f t="shared" si="108"/>
        <v>4200</v>
      </c>
      <c r="J727" s="97" t="e">
        <f>#REF!</f>
        <v>#REF!</v>
      </c>
      <c r="K727" s="97" t="e">
        <f>J727-136000</f>
        <v>#REF!</v>
      </c>
      <c r="L727" s="30">
        <f>H728</f>
        <v>3801892.5</v>
      </c>
      <c r="M727" s="30" t="e">
        <f>K727-L727</f>
        <v>#REF!</v>
      </c>
    </row>
    <row r="728" spans="1:14" ht="18">
      <c r="A728" s="385"/>
      <c r="B728" s="371"/>
      <c r="C728" s="372"/>
      <c r="D728" s="372"/>
      <c r="E728" s="372"/>
      <c r="F728" s="372"/>
      <c r="G728" s="373"/>
      <c r="H728" s="26">
        <f>SUM(H720:H727)</f>
        <v>3801892.5</v>
      </c>
      <c r="J728" t="s">
        <v>71</v>
      </c>
      <c r="K728">
        <v>22050</v>
      </c>
      <c r="L728" s="37">
        <f>K728*5</f>
        <v>110250</v>
      </c>
    </row>
    <row r="729" spans="1:14" ht="18">
      <c r="A729" s="383">
        <v>3</v>
      </c>
      <c r="B729" s="12" t="s">
        <v>22</v>
      </c>
      <c r="C729" s="101">
        <f>E729/D729</f>
        <v>0.11931330472103005</v>
      </c>
      <c r="D729" s="17">
        <v>233</v>
      </c>
      <c r="E729" s="53" t="s">
        <v>108</v>
      </c>
      <c r="F729" s="67" t="s">
        <v>1</v>
      </c>
      <c r="G729" s="13">
        <v>21525</v>
      </c>
      <c r="H729" s="14">
        <f>E729*G729</f>
        <v>598395</v>
      </c>
      <c r="I729" s="43" t="s">
        <v>2</v>
      </c>
      <c r="J729" t="s">
        <v>39</v>
      </c>
      <c r="K729" t="s">
        <v>40</v>
      </c>
      <c r="L729" s="37">
        <f>136500*1</f>
        <v>136500</v>
      </c>
    </row>
    <row r="730" spans="1:14" ht="18">
      <c r="A730" s="384"/>
      <c r="B730" s="38" t="s">
        <v>49</v>
      </c>
      <c r="C730" s="101">
        <f>E730/D730</f>
        <v>3.8197424892703863E-2</v>
      </c>
      <c r="D730" s="17">
        <v>233</v>
      </c>
      <c r="E730" s="58">
        <v>8.9</v>
      </c>
      <c r="F730" s="68" t="s">
        <v>1</v>
      </c>
      <c r="G730" s="18">
        <v>199500</v>
      </c>
      <c r="H730" s="19">
        <f>E730*G730</f>
        <v>1775550</v>
      </c>
      <c r="J730" t="s">
        <v>70</v>
      </c>
      <c r="K730">
        <v>39900</v>
      </c>
      <c r="L730" s="37">
        <f>K730*3</f>
        <v>119700</v>
      </c>
    </row>
    <row r="731" spans="1:14" ht="18">
      <c r="A731" s="384"/>
      <c r="B731" s="17" t="s">
        <v>87</v>
      </c>
      <c r="C731" s="101">
        <f t="shared" ref="C731:C735" si="109">E731/D731</f>
        <v>2.3605150214592276E-2</v>
      </c>
      <c r="D731" s="17">
        <v>233</v>
      </c>
      <c r="E731" s="58">
        <v>5.5</v>
      </c>
      <c r="F731" s="68" t="s">
        <v>1</v>
      </c>
      <c r="G731" s="18">
        <v>123900</v>
      </c>
      <c r="H731" s="19">
        <f t="shared" ref="H731:H738" si="110">E731*G731</f>
        <v>681450</v>
      </c>
      <c r="J731" t="s">
        <v>66</v>
      </c>
      <c r="K731">
        <v>60900</v>
      </c>
      <c r="L731" s="37">
        <f>K731*0.1</f>
        <v>6090</v>
      </c>
    </row>
    <row r="732" spans="1:14" ht="18">
      <c r="A732" s="384"/>
      <c r="B732" s="17" t="s">
        <v>6</v>
      </c>
      <c r="C732" s="101">
        <f t="shared" si="109"/>
        <v>4.2918454935622317E-3</v>
      </c>
      <c r="D732" s="17">
        <v>233</v>
      </c>
      <c r="E732" s="57">
        <v>1</v>
      </c>
      <c r="F732" s="68" t="s">
        <v>1</v>
      </c>
      <c r="G732" s="18">
        <v>136500</v>
      </c>
      <c r="H732" s="19">
        <f t="shared" si="110"/>
        <v>136500</v>
      </c>
      <c r="J732" t="s">
        <v>67</v>
      </c>
      <c r="K732">
        <v>42000</v>
      </c>
      <c r="L732" s="51">
        <f>K732*0.1</f>
        <v>4200</v>
      </c>
    </row>
    <row r="733" spans="1:14" ht="18">
      <c r="A733" s="384"/>
      <c r="B733" s="17" t="s">
        <v>9</v>
      </c>
      <c r="C733" s="101">
        <f t="shared" si="109"/>
        <v>4.2918454935622317E-3</v>
      </c>
      <c r="D733" s="17">
        <v>233</v>
      </c>
      <c r="E733" s="59">
        <v>1</v>
      </c>
      <c r="F733" s="68" t="s">
        <v>1</v>
      </c>
      <c r="G733" s="18">
        <v>36720</v>
      </c>
      <c r="H733" s="19">
        <f t="shared" si="110"/>
        <v>36720</v>
      </c>
    </row>
    <row r="734" spans="1:14" ht="18">
      <c r="A734" s="384"/>
      <c r="B734" s="17" t="s">
        <v>50</v>
      </c>
      <c r="C734" s="101">
        <f t="shared" si="109"/>
        <v>6.4377682403433476E-3</v>
      </c>
      <c r="D734" s="17">
        <v>233</v>
      </c>
      <c r="E734" s="59">
        <v>1.5</v>
      </c>
      <c r="F734" s="68" t="s">
        <v>1</v>
      </c>
      <c r="G734" s="18">
        <v>29400</v>
      </c>
      <c r="H734" s="19">
        <f t="shared" si="110"/>
        <v>44100</v>
      </c>
      <c r="J734" s="30">
        <f>H733+H734</f>
        <v>80820</v>
      </c>
    </row>
    <row r="735" spans="1:14" ht="18">
      <c r="A735" s="384"/>
      <c r="B735" s="17" t="s">
        <v>31</v>
      </c>
      <c r="C735" s="101">
        <f t="shared" si="109"/>
        <v>3.4334763948497854E-2</v>
      </c>
      <c r="D735" s="17">
        <v>233</v>
      </c>
      <c r="E735" s="57">
        <v>8</v>
      </c>
      <c r="F735" s="68" t="s">
        <v>1</v>
      </c>
      <c r="G735" s="18">
        <v>49350</v>
      </c>
      <c r="H735" s="19">
        <f t="shared" si="110"/>
        <v>394800</v>
      </c>
      <c r="J735" s="30"/>
    </row>
    <row r="736" spans="1:14" ht="18">
      <c r="A736" s="384"/>
      <c r="B736" s="17" t="s">
        <v>120</v>
      </c>
      <c r="C736" s="48"/>
      <c r="D736" s="17">
        <v>233</v>
      </c>
      <c r="E736" s="57">
        <v>8</v>
      </c>
      <c r="F736" s="68" t="s">
        <v>1</v>
      </c>
      <c r="G736" s="36">
        <v>18900</v>
      </c>
      <c r="H736" s="19">
        <f t="shared" si="110"/>
        <v>151200</v>
      </c>
      <c r="J736" s="30"/>
    </row>
    <row r="737" spans="1:12" ht="18">
      <c r="A737" s="384"/>
      <c r="B737" s="17" t="s">
        <v>12</v>
      </c>
      <c r="C737" s="76"/>
      <c r="D737" s="17">
        <v>233</v>
      </c>
      <c r="E737" s="59">
        <v>0.1</v>
      </c>
      <c r="F737" s="68" t="s">
        <v>1</v>
      </c>
      <c r="G737" s="18">
        <v>60900</v>
      </c>
      <c r="H737" s="19">
        <f t="shared" si="110"/>
        <v>6090</v>
      </c>
      <c r="I737" s="30"/>
      <c r="J737" s="97" t="e">
        <f>#REF!</f>
        <v>#REF!</v>
      </c>
      <c r="K737" s="30">
        <f>H739</f>
        <v>3829005</v>
      </c>
      <c r="L737" s="30" t="e">
        <f>J737-K737</f>
        <v>#REF!</v>
      </c>
    </row>
    <row r="738" spans="1:12" ht="18">
      <c r="A738" s="384"/>
      <c r="B738" s="17" t="s">
        <v>51</v>
      </c>
      <c r="C738" s="76"/>
      <c r="D738" s="17">
        <v>233</v>
      </c>
      <c r="E738" s="59">
        <v>0.1</v>
      </c>
      <c r="F738" s="68" t="s">
        <v>1</v>
      </c>
      <c r="G738" s="36">
        <v>42000</v>
      </c>
      <c r="H738" s="19">
        <f t="shared" si="110"/>
        <v>4200</v>
      </c>
      <c r="J738" t="e">
        <f>#REF!</f>
        <v>#REF!</v>
      </c>
      <c r="K738" s="30" t="e">
        <f>J738-136000</f>
        <v>#REF!</v>
      </c>
      <c r="L738" t="e">
        <f>#REF!</f>
        <v>#REF!</v>
      </c>
    </row>
    <row r="739" spans="1:12" ht="18">
      <c r="A739" s="385"/>
      <c r="B739" s="371"/>
      <c r="C739" s="372"/>
      <c r="D739" s="372"/>
      <c r="E739" s="372"/>
      <c r="F739" s="372"/>
      <c r="G739" s="373"/>
      <c r="H739" s="26">
        <f>SUM(H729:H738)</f>
        <v>3829005</v>
      </c>
      <c r="J739" s="30" t="e">
        <f>#REF!</f>
        <v>#REF!</v>
      </c>
      <c r="K739" s="30" t="e">
        <f>J739-136000</f>
        <v>#REF!</v>
      </c>
      <c r="L739" s="30" t="e">
        <f>L737-L738</f>
        <v>#REF!</v>
      </c>
    </row>
    <row r="740" spans="1:12" ht="18">
      <c r="A740" s="383">
        <v>4</v>
      </c>
      <c r="B740" s="2" t="s">
        <v>22</v>
      </c>
      <c r="C740" s="100">
        <f>E740/D740</f>
        <v>0.11931330472103005</v>
      </c>
      <c r="D740" s="2">
        <v>233</v>
      </c>
      <c r="E740" s="194" t="s">
        <v>108</v>
      </c>
      <c r="F740" s="2" t="s">
        <v>1</v>
      </c>
      <c r="G740" s="4">
        <v>21525</v>
      </c>
      <c r="H740" s="5">
        <f>G740*E740</f>
        <v>598395</v>
      </c>
      <c r="I740" s="43" t="s">
        <v>2</v>
      </c>
      <c r="K740" s="37"/>
    </row>
    <row r="741" spans="1:12" ht="18">
      <c r="A741" s="384"/>
      <c r="B741" s="88" t="s">
        <v>63</v>
      </c>
      <c r="C741" s="101">
        <f>E741/D741</f>
        <v>5.1502145922746781E-2</v>
      </c>
      <c r="D741" s="15">
        <v>233</v>
      </c>
      <c r="E741" s="196" t="s">
        <v>109</v>
      </c>
      <c r="F741" s="15" t="s">
        <v>1</v>
      </c>
      <c r="G741" s="83">
        <v>156600</v>
      </c>
      <c r="H741" s="16">
        <f>E741*G741</f>
        <v>1879200</v>
      </c>
    </row>
    <row r="742" spans="1:12" ht="18">
      <c r="A742" s="384"/>
      <c r="B742" s="85" t="s">
        <v>64</v>
      </c>
      <c r="C742" s="101">
        <f t="shared" ref="C742:C745" si="111">E742/D742</f>
        <v>6.0085836909871244E-2</v>
      </c>
      <c r="D742" s="15">
        <v>233</v>
      </c>
      <c r="E742" s="191" t="s">
        <v>69</v>
      </c>
      <c r="F742" s="17" t="s">
        <v>1</v>
      </c>
      <c r="G742" s="73">
        <v>21000</v>
      </c>
      <c r="H742" s="16">
        <f t="shared" ref="H742:H744" si="112">E742*G742</f>
        <v>294000</v>
      </c>
    </row>
    <row r="743" spans="1:12" ht="18">
      <c r="A743" s="384"/>
      <c r="B743" s="84" t="s">
        <v>24</v>
      </c>
      <c r="C743" s="101">
        <f t="shared" si="111"/>
        <v>2.7038626609442059E-2</v>
      </c>
      <c r="D743" s="15">
        <v>233</v>
      </c>
      <c r="E743" s="191" t="s">
        <v>111</v>
      </c>
      <c r="F743" s="17" t="s">
        <v>1</v>
      </c>
      <c r="G743" s="73">
        <v>125580</v>
      </c>
      <c r="H743" s="16">
        <f t="shared" si="112"/>
        <v>791154</v>
      </c>
    </row>
    <row r="744" spans="1:12" ht="18">
      <c r="A744" s="384"/>
      <c r="B744" s="84" t="s">
        <v>6</v>
      </c>
      <c r="C744" s="101">
        <f t="shared" si="111"/>
        <v>4.2918454935622317E-3</v>
      </c>
      <c r="D744" s="15">
        <v>233</v>
      </c>
      <c r="E744" s="191" t="s">
        <v>26</v>
      </c>
      <c r="F744" s="17" t="s">
        <v>1</v>
      </c>
      <c r="G744" s="18">
        <v>136500</v>
      </c>
      <c r="H744" s="16">
        <f t="shared" si="112"/>
        <v>136500</v>
      </c>
      <c r="J744" s="30">
        <f>H744+H747+H748</f>
        <v>147504</v>
      </c>
    </row>
    <row r="745" spans="1:12" ht="18">
      <c r="A745" s="384"/>
      <c r="B745" s="84" t="s">
        <v>117</v>
      </c>
      <c r="C745" s="101">
        <f t="shared" si="111"/>
        <v>2.4034334763948496E-2</v>
      </c>
      <c r="D745" s="15">
        <v>233</v>
      </c>
      <c r="E745" s="54" t="s">
        <v>118</v>
      </c>
      <c r="F745" s="17" t="s">
        <v>1</v>
      </c>
      <c r="G745" s="18">
        <v>19950</v>
      </c>
      <c r="H745" s="16">
        <f>E745*G745-1470</f>
        <v>110250</v>
      </c>
      <c r="J745" s="30"/>
    </row>
    <row r="746" spans="1:12" ht="18">
      <c r="A746" s="384"/>
      <c r="B746" s="17" t="s">
        <v>116</v>
      </c>
      <c r="C746" s="66"/>
      <c r="D746" s="15">
        <v>233</v>
      </c>
      <c r="E746" s="59">
        <v>0.1</v>
      </c>
      <c r="F746" s="17" t="s">
        <v>1</v>
      </c>
      <c r="G746" s="19">
        <v>60900</v>
      </c>
      <c r="H746" s="16">
        <f t="shared" ref="H746:H748" si="113">E746*G746</f>
        <v>6090</v>
      </c>
      <c r="J746" s="30"/>
    </row>
    <row r="747" spans="1:12" ht="18">
      <c r="A747" s="384"/>
      <c r="B747" s="84" t="s">
        <v>81</v>
      </c>
      <c r="C747" s="66"/>
      <c r="D747" s="15">
        <v>233</v>
      </c>
      <c r="E747" s="55" t="s">
        <v>46</v>
      </c>
      <c r="F747" s="17" t="s">
        <v>1</v>
      </c>
      <c r="G747" s="36">
        <v>68040</v>
      </c>
      <c r="H747" s="16">
        <f t="shared" si="113"/>
        <v>6804</v>
      </c>
      <c r="I747" s="30">
        <f>H744+H743</f>
        <v>927654</v>
      </c>
      <c r="J747" s="30" t="e">
        <f>H747+H748+#REF!</f>
        <v>#REF!</v>
      </c>
    </row>
    <row r="748" spans="1:12" ht="18">
      <c r="A748" s="384"/>
      <c r="B748" s="84" t="s">
        <v>123</v>
      </c>
      <c r="C748" s="49"/>
      <c r="D748" s="17">
        <v>233</v>
      </c>
      <c r="E748" s="55" t="s">
        <v>46</v>
      </c>
      <c r="F748" s="17" t="s">
        <v>1</v>
      </c>
      <c r="G748" s="36">
        <v>42000</v>
      </c>
      <c r="H748" s="16">
        <f t="shared" si="113"/>
        <v>4200</v>
      </c>
    </row>
    <row r="749" spans="1:12" ht="18">
      <c r="A749" s="384"/>
      <c r="B749" s="17"/>
      <c r="C749" s="42"/>
      <c r="D749" s="20"/>
      <c r="E749" s="192"/>
      <c r="F749" s="27"/>
      <c r="G749" s="18"/>
      <c r="H749" s="28">
        <f>SUM(H740:H748)</f>
        <v>3826593</v>
      </c>
      <c r="J749" s="30" t="e">
        <f>#REF!</f>
        <v>#REF!</v>
      </c>
      <c r="K749" s="30">
        <f>H749</f>
        <v>3826593</v>
      </c>
      <c r="L749" s="30" t="e">
        <f>J749-K749</f>
        <v>#REF!</v>
      </c>
    </row>
    <row r="750" spans="1:12" s="31" customFormat="1" ht="18">
      <c r="A750" s="381">
        <v>5</v>
      </c>
      <c r="B750" s="12" t="s">
        <v>22</v>
      </c>
      <c r="C750" s="100">
        <f>E750/D750</f>
        <v>0.11931330472103005</v>
      </c>
      <c r="D750" s="2">
        <v>233</v>
      </c>
      <c r="E750" s="53" t="s">
        <v>108</v>
      </c>
      <c r="F750" s="2" t="s">
        <v>1</v>
      </c>
      <c r="G750" s="4">
        <v>21525</v>
      </c>
      <c r="H750" s="5">
        <f>G750*E750</f>
        <v>598395</v>
      </c>
      <c r="I750" s="71" t="s">
        <v>2</v>
      </c>
      <c r="K750" s="72">
        <f>H749-K749</f>
        <v>0</v>
      </c>
    </row>
    <row r="751" spans="1:12" s="31" customFormat="1" ht="18">
      <c r="A751" s="382"/>
      <c r="B751" s="17" t="s">
        <v>87</v>
      </c>
      <c r="C751" s="101">
        <f>E751/D751</f>
        <v>7.5965665236051499E-2</v>
      </c>
      <c r="D751" s="15">
        <v>233</v>
      </c>
      <c r="E751" s="58">
        <v>17.7</v>
      </c>
      <c r="F751" s="15" t="s">
        <v>1</v>
      </c>
      <c r="G751" s="83">
        <v>125580</v>
      </c>
      <c r="H751" s="16">
        <f>E751*G751</f>
        <v>2222766</v>
      </c>
    </row>
    <row r="752" spans="1:12" s="31" customFormat="1" ht="18">
      <c r="A752" s="382"/>
      <c r="B752" s="17" t="s">
        <v>36</v>
      </c>
      <c r="C752" s="101">
        <f t="shared" ref="C752:C755" si="114">E752/D752</f>
        <v>3.0901287553648068E-2</v>
      </c>
      <c r="D752" s="15">
        <v>233</v>
      </c>
      <c r="E752" s="54" t="s">
        <v>105</v>
      </c>
      <c r="F752" s="17" t="s">
        <v>1</v>
      </c>
      <c r="G752" s="73">
        <v>67200</v>
      </c>
      <c r="H752" s="16">
        <f t="shared" ref="H752:H754" si="115">E752*G752</f>
        <v>483840</v>
      </c>
      <c r="I752" s="44"/>
    </row>
    <row r="753" spans="1:13" s="31" customFormat="1" ht="18">
      <c r="A753" s="382"/>
      <c r="B753" s="17" t="s">
        <v>78</v>
      </c>
      <c r="C753" s="101">
        <f t="shared" si="114"/>
        <v>1.2875536480686695E-2</v>
      </c>
      <c r="D753" s="15">
        <v>233</v>
      </c>
      <c r="E753" s="54" t="s">
        <v>48</v>
      </c>
      <c r="F753" s="17" t="s">
        <v>1</v>
      </c>
      <c r="G753" s="73">
        <v>78750</v>
      </c>
      <c r="H753" s="16">
        <f t="shared" si="115"/>
        <v>236250</v>
      </c>
      <c r="I753" s="44"/>
    </row>
    <row r="754" spans="1:13" s="31" customFormat="1" ht="20.399999999999999">
      <c r="A754" s="382"/>
      <c r="B754" s="17" t="s">
        <v>79</v>
      </c>
      <c r="C754" s="101">
        <f t="shared" si="114"/>
        <v>5.5793991416309016E-2</v>
      </c>
      <c r="D754" s="15">
        <v>233</v>
      </c>
      <c r="E754" s="54" t="s">
        <v>80</v>
      </c>
      <c r="F754" s="17" t="s">
        <v>1</v>
      </c>
      <c r="G754" s="18">
        <v>20478</v>
      </c>
      <c r="H754" s="16">
        <f t="shared" si="115"/>
        <v>266214</v>
      </c>
      <c r="I754" s="65"/>
    </row>
    <row r="755" spans="1:13" s="31" customFormat="1" ht="18">
      <c r="A755" s="382"/>
      <c r="B755" s="17" t="s">
        <v>81</v>
      </c>
      <c r="C755" s="101">
        <f t="shared" si="114"/>
        <v>4.2918454935622321E-4</v>
      </c>
      <c r="D755" s="15">
        <v>233</v>
      </c>
      <c r="E755" s="54" t="s">
        <v>46</v>
      </c>
      <c r="F755" s="17" t="s">
        <v>1</v>
      </c>
      <c r="G755" s="18">
        <v>68040</v>
      </c>
      <c r="H755" s="16">
        <f>E755*G755</f>
        <v>6804</v>
      </c>
    </row>
    <row r="756" spans="1:13" s="31" customFormat="1" ht="18">
      <c r="A756" s="382"/>
      <c r="B756" s="17" t="s">
        <v>66</v>
      </c>
      <c r="C756" s="66"/>
      <c r="D756" s="15">
        <v>233</v>
      </c>
      <c r="E756" s="54" t="s">
        <v>46</v>
      </c>
      <c r="F756" s="17" t="s">
        <v>1</v>
      </c>
      <c r="G756" s="19">
        <v>60900</v>
      </c>
      <c r="H756" s="16">
        <f t="shared" ref="H756:H757" si="116">E756*G756</f>
        <v>6090</v>
      </c>
    </row>
    <row r="757" spans="1:13" s="31" customFormat="1" ht="18">
      <c r="A757" s="382"/>
      <c r="B757" s="17" t="s">
        <v>123</v>
      </c>
      <c r="C757" s="66"/>
      <c r="D757" s="15">
        <v>233</v>
      </c>
      <c r="E757" s="54" t="s">
        <v>46</v>
      </c>
      <c r="F757" s="17" t="s">
        <v>1</v>
      </c>
      <c r="G757" s="36">
        <v>49350</v>
      </c>
      <c r="H757" s="16">
        <f t="shared" si="116"/>
        <v>4935</v>
      </c>
    </row>
    <row r="758" spans="1:13" s="31" customFormat="1" ht="18">
      <c r="A758" s="77"/>
      <c r="B758" s="78"/>
      <c r="C758" s="79"/>
      <c r="D758" s="79"/>
      <c r="E758" s="79"/>
      <c r="F758" s="79"/>
      <c r="G758" s="80"/>
      <c r="H758" s="81">
        <f>SUM(H750:H757)</f>
        <v>3825294</v>
      </c>
      <c r="J758" s="93" t="e">
        <f>#REF!</f>
        <v>#REF!</v>
      </c>
      <c r="K758" s="72">
        <f>H758</f>
        <v>3825294</v>
      </c>
      <c r="L758" s="72" t="e">
        <f>J758-K758</f>
        <v>#REF!</v>
      </c>
    </row>
    <row r="759" spans="1:13" s="31" customFormat="1" ht="18">
      <c r="A759" s="381">
        <v>6</v>
      </c>
      <c r="B759" s="98" t="s">
        <v>11</v>
      </c>
      <c r="C759" s="101">
        <f>E759/D759</f>
        <v>0.11931330472103005</v>
      </c>
      <c r="D759" s="98">
        <v>233</v>
      </c>
      <c r="E759" s="190">
        <v>27.8</v>
      </c>
      <c r="F759" s="98" t="s">
        <v>1</v>
      </c>
      <c r="G759" s="99">
        <v>21525</v>
      </c>
      <c r="H759" s="39">
        <f>E759*G759</f>
        <v>598395</v>
      </c>
      <c r="I759" s="71" t="s">
        <v>2</v>
      </c>
      <c r="J759" s="72"/>
      <c r="K759" s="72">
        <f>K758-H758</f>
        <v>0</v>
      </c>
    </row>
    <row r="760" spans="1:13" s="31" customFormat="1" ht="18">
      <c r="A760" s="382"/>
      <c r="B760" s="17" t="s">
        <v>42</v>
      </c>
      <c r="C760" s="101">
        <f>E760/D760</f>
        <v>6.1373390557939916E-2</v>
      </c>
      <c r="D760" s="17">
        <v>233</v>
      </c>
      <c r="E760" s="42">
        <v>14.3</v>
      </c>
      <c r="F760" s="17" t="s">
        <v>4</v>
      </c>
      <c r="G760" s="18">
        <v>162000</v>
      </c>
      <c r="H760" s="19">
        <f>E760*G760</f>
        <v>2316600</v>
      </c>
      <c r="K760" s="72"/>
    </row>
    <row r="761" spans="1:13" s="31" customFormat="1" ht="18">
      <c r="A761" s="382"/>
      <c r="B761" s="17" t="s">
        <v>43</v>
      </c>
      <c r="C761" s="101">
        <f t="shared" ref="C761:C763" si="117">E761/D761</f>
        <v>0.55793991416309008</v>
      </c>
      <c r="D761" s="17">
        <v>233</v>
      </c>
      <c r="E761" s="42">
        <v>130</v>
      </c>
      <c r="F761" s="17" t="s">
        <v>3</v>
      </c>
      <c r="G761" s="18">
        <v>3456</v>
      </c>
      <c r="H761" s="19">
        <f t="shared" ref="H761:H765" si="118">E761*G761</f>
        <v>449280</v>
      </c>
    </row>
    <row r="762" spans="1:13" s="31" customFormat="1" ht="18">
      <c r="A762" s="382"/>
      <c r="B762" s="17" t="s">
        <v>44</v>
      </c>
      <c r="C762" s="101">
        <f t="shared" si="117"/>
        <v>2.1459227467811159E-2</v>
      </c>
      <c r="D762" s="17">
        <v>233</v>
      </c>
      <c r="E762" s="42">
        <v>5</v>
      </c>
      <c r="F762" s="17" t="s">
        <v>1</v>
      </c>
      <c r="G762" s="18">
        <v>31500</v>
      </c>
      <c r="H762" s="19">
        <f t="shared" si="118"/>
        <v>157500</v>
      </c>
    </row>
    <row r="763" spans="1:13" s="31" customFormat="1" ht="18">
      <c r="A763" s="382"/>
      <c r="B763" s="17" t="s">
        <v>13</v>
      </c>
      <c r="C763" s="101">
        <f t="shared" si="117"/>
        <v>4.2918454935622317E-3</v>
      </c>
      <c r="D763" s="17">
        <v>233</v>
      </c>
      <c r="E763" s="42">
        <v>1</v>
      </c>
      <c r="F763" s="17" t="s">
        <v>1</v>
      </c>
      <c r="G763" s="18">
        <v>173250</v>
      </c>
      <c r="H763" s="19">
        <f t="shared" si="118"/>
        <v>173250</v>
      </c>
      <c r="J763" s="72" t="e">
        <f>#REF!</f>
        <v>#REF!</v>
      </c>
      <c r="K763" s="72" t="e">
        <f>#REF!</f>
        <v>#REF!</v>
      </c>
      <c r="L763" s="72">
        <f>H767</f>
        <v>3826275</v>
      </c>
      <c r="M763" s="72" t="e">
        <f>K763-L763</f>
        <v>#REF!</v>
      </c>
    </row>
    <row r="764" spans="1:13" s="31" customFormat="1" ht="18">
      <c r="A764" s="382"/>
      <c r="B764" s="17" t="s">
        <v>119</v>
      </c>
      <c r="C764" s="48"/>
      <c r="D764" s="17">
        <v>233</v>
      </c>
      <c r="E764" s="42">
        <v>6.4</v>
      </c>
      <c r="F764" s="17" t="s">
        <v>1</v>
      </c>
      <c r="G764" s="18">
        <v>18900</v>
      </c>
      <c r="H764" s="19">
        <f t="shared" si="118"/>
        <v>120960</v>
      </c>
      <c r="K764" s="72" t="e">
        <f>H767-K763</f>
        <v>#REF!</v>
      </c>
    </row>
    <row r="765" spans="1:13" s="31" customFormat="1" ht="18">
      <c r="A765" s="382"/>
      <c r="B765" s="17" t="s">
        <v>12</v>
      </c>
      <c r="C765" s="48"/>
      <c r="D765" s="17"/>
      <c r="E765" s="42">
        <v>0.1</v>
      </c>
      <c r="F765" s="17" t="s">
        <v>1</v>
      </c>
      <c r="G765" s="18">
        <v>60900</v>
      </c>
      <c r="H765" s="19">
        <f t="shared" si="118"/>
        <v>6090</v>
      </c>
      <c r="M765" s="72" t="e">
        <f>H766-M763</f>
        <v>#REF!</v>
      </c>
    </row>
    <row r="766" spans="1:13" s="31" customFormat="1" ht="18">
      <c r="A766" s="382"/>
      <c r="B766" s="17" t="s">
        <v>41</v>
      </c>
      <c r="C766" s="48"/>
      <c r="D766" s="17"/>
      <c r="E766" s="197">
        <v>0.1</v>
      </c>
      <c r="F766" s="17" t="s">
        <v>1</v>
      </c>
      <c r="G766" s="18">
        <v>42000</v>
      </c>
      <c r="H766" s="19">
        <v>4200</v>
      </c>
      <c r="J766" s="72" t="e">
        <f>#REF!</f>
        <v>#REF!</v>
      </c>
      <c r="K766" s="72" t="e">
        <f>J766-136000</f>
        <v>#REF!</v>
      </c>
    </row>
    <row r="767" spans="1:13" ht="18">
      <c r="A767" s="2"/>
      <c r="B767" s="3"/>
      <c r="C767" s="50"/>
      <c r="D767" s="2"/>
      <c r="E767" s="195"/>
      <c r="F767" s="5"/>
      <c r="G767" s="2"/>
      <c r="H767" s="26">
        <f>SUM(H759:H766)</f>
        <v>3826275</v>
      </c>
      <c r="J767" t="e">
        <f>#REF!</f>
        <v>#REF!</v>
      </c>
      <c r="K767" s="37" t="e">
        <f>J767-136000</f>
        <v>#REF!</v>
      </c>
    </row>
    <row r="807" spans="1:14" ht="15.6">
      <c r="A807" s="6" t="s">
        <v>0</v>
      </c>
      <c r="B807" s="6"/>
    </row>
    <row r="808" spans="1:14" ht="26.4" customHeight="1">
      <c r="A808" s="375" t="s">
        <v>56</v>
      </c>
      <c r="B808" s="375"/>
      <c r="C808" s="375"/>
      <c r="D808" s="375"/>
      <c r="E808" s="375"/>
      <c r="F808" s="375"/>
      <c r="G808" s="375"/>
      <c r="H808" s="375"/>
    </row>
    <row r="809" spans="1:14" ht="26.4" customHeight="1">
      <c r="A809" s="87"/>
      <c r="B809" s="376" t="s">
        <v>115</v>
      </c>
      <c r="C809" s="376"/>
      <c r="D809" s="376"/>
      <c r="E809" s="376"/>
      <c r="F809" s="376"/>
      <c r="G809" s="376"/>
      <c r="H809" s="376"/>
    </row>
    <row r="810" spans="1:14" ht="40.200000000000003">
      <c r="A810" s="7" t="s">
        <v>15</v>
      </c>
      <c r="B810" s="8" t="s">
        <v>16</v>
      </c>
      <c r="C810" s="9" t="s">
        <v>17</v>
      </c>
      <c r="D810" s="10" t="s">
        <v>18</v>
      </c>
      <c r="E810" s="7" t="s">
        <v>19</v>
      </c>
      <c r="F810" s="11" t="s">
        <v>5</v>
      </c>
      <c r="G810" s="7" t="s">
        <v>20</v>
      </c>
      <c r="H810" s="7" t="s">
        <v>21</v>
      </c>
    </row>
    <row r="811" spans="1:14" ht="18">
      <c r="A811" s="383">
        <v>2</v>
      </c>
      <c r="B811" s="2" t="s">
        <v>22</v>
      </c>
      <c r="C811" s="100">
        <f>E811/D811</f>
        <v>0.11931330472103005</v>
      </c>
      <c r="D811" s="2">
        <v>233</v>
      </c>
      <c r="E811" s="194" t="s">
        <v>108</v>
      </c>
      <c r="F811" s="2" t="s">
        <v>1</v>
      </c>
      <c r="G811" s="4">
        <v>21525</v>
      </c>
      <c r="H811" s="5">
        <f>G811*E811</f>
        <v>598395</v>
      </c>
      <c r="I811" s="43" t="s">
        <v>2</v>
      </c>
    </row>
    <row r="812" spans="1:14" ht="18">
      <c r="A812" s="384"/>
      <c r="B812" s="88" t="s">
        <v>63</v>
      </c>
      <c r="C812" s="101">
        <f>E812/D812</f>
        <v>5.1502145922746781E-2</v>
      </c>
      <c r="D812" s="15">
        <v>233</v>
      </c>
      <c r="E812" s="196" t="s">
        <v>109</v>
      </c>
      <c r="F812" s="15" t="s">
        <v>1</v>
      </c>
      <c r="G812" s="83">
        <v>156600</v>
      </c>
      <c r="H812" s="16">
        <f>E812*G812</f>
        <v>1879200</v>
      </c>
    </row>
    <row r="813" spans="1:14" ht="18">
      <c r="A813" s="384"/>
      <c r="B813" s="85" t="s">
        <v>64</v>
      </c>
      <c r="C813" s="101">
        <f t="shared" ref="C813:C816" si="119">E813/D813</f>
        <v>6.1802575107296136E-2</v>
      </c>
      <c r="D813" s="15">
        <v>233</v>
      </c>
      <c r="E813" s="191" t="s">
        <v>110</v>
      </c>
      <c r="F813" s="17" t="s">
        <v>1</v>
      </c>
      <c r="G813" s="73">
        <v>21000</v>
      </c>
      <c r="H813" s="16">
        <f t="shared" ref="H813:H819" si="120">E813*G813</f>
        <v>302400</v>
      </c>
    </row>
    <row r="814" spans="1:14" ht="18">
      <c r="A814" s="384"/>
      <c r="B814" s="84" t="s">
        <v>24</v>
      </c>
      <c r="C814" s="101">
        <f t="shared" si="119"/>
        <v>2.7038626609442059E-2</v>
      </c>
      <c r="D814" s="15">
        <v>233</v>
      </c>
      <c r="E814" s="191" t="s">
        <v>111</v>
      </c>
      <c r="F814" s="17" t="s">
        <v>1</v>
      </c>
      <c r="G814" s="73">
        <v>125580</v>
      </c>
      <c r="H814" s="16">
        <f t="shared" si="120"/>
        <v>791154</v>
      </c>
    </row>
    <row r="815" spans="1:14" ht="18">
      <c r="A815" s="384"/>
      <c r="B815" s="84" t="s">
        <v>6</v>
      </c>
      <c r="C815" s="101">
        <f t="shared" si="119"/>
        <v>4.2918454935622317E-3</v>
      </c>
      <c r="D815" s="15">
        <v>233</v>
      </c>
      <c r="E815" s="191" t="s">
        <v>26</v>
      </c>
      <c r="F815" s="17" t="s">
        <v>1</v>
      </c>
      <c r="G815" s="18">
        <v>136500</v>
      </c>
      <c r="H815" s="16">
        <f t="shared" si="120"/>
        <v>136500</v>
      </c>
    </row>
    <row r="816" spans="1:14" ht="18">
      <c r="A816" s="384"/>
      <c r="B816" s="84" t="s">
        <v>117</v>
      </c>
      <c r="C816" s="101">
        <f t="shared" si="119"/>
        <v>2.4034334763948496E-2</v>
      </c>
      <c r="D816" s="15">
        <v>233</v>
      </c>
      <c r="E816" s="54" t="s">
        <v>118</v>
      </c>
      <c r="F816" s="17" t="s">
        <v>1</v>
      </c>
      <c r="G816" s="18">
        <v>19950</v>
      </c>
      <c r="H816" s="16">
        <f>E816*G816-1470</f>
        <v>110250</v>
      </c>
      <c r="J816" t="e">
        <f>#REF!</f>
        <v>#REF!</v>
      </c>
      <c r="K816" s="37" t="e">
        <f>J816-136000</f>
        <v>#REF!</v>
      </c>
      <c r="N816" s="30">
        <f>'Dat thuc pham T 02 2025 (3)'!H816-'Dat thuc pham T 02 2025 (3)'!H815</f>
        <v>-26250</v>
      </c>
    </row>
    <row r="817" spans="1:13" ht="18">
      <c r="A817" s="384"/>
      <c r="B817" s="17" t="s">
        <v>116</v>
      </c>
      <c r="C817" s="66"/>
      <c r="D817" s="15">
        <v>233</v>
      </c>
      <c r="E817" s="59">
        <v>0.1</v>
      </c>
      <c r="F817" s="17" t="s">
        <v>1</v>
      </c>
      <c r="G817" s="19">
        <v>60900</v>
      </c>
      <c r="H817" s="16">
        <f t="shared" si="120"/>
        <v>6090</v>
      </c>
      <c r="K817" s="37"/>
    </row>
    <row r="818" spans="1:13" ht="18">
      <c r="A818" s="384"/>
      <c r="B818" s="84" t="s">
        <v>81</v>
      </c>
      <c r="C818" s="66"/>
      <c r="D818" s="15">
        <v>233</v>
      </c>
      <c r="E818" s="55" t="s">
        <v>46</v>
      </c>
      <c r="F818" s="17" t="s">
        <v>1</v>
      </c>
      <c r="G818" s="36">
        <v>68040</v>
      </c>
      <c r="H818" s="16">
        <f t="shared" si="120"/>
        <v>6804</v>
      </c>
      <c r="J818" s="97" t="e">
        <f>#REF!</f>
        <v>#REF!</v>
      </c>
      <c r="K818" s="97" t="e">
        <f>J818-136000</f>
        <v>#REF!</v>
      </c>
      <c r="L818" s="30">
        <f>H820</f>
        <v>3834993</v>
      </c>
      <c r="M818" s="30" t="e">
        <f>K818-L818</f>
        <v>#REF!</v>
      </c>
    </row>
    <row r="819" spans="1:13" ht="18">
      <c r="A819" s="384"/>
      <c r="B819" s="84" t="s">
        <v>67</v>
      </c>
      <c r="C819" s="49"/>
      <c r="D819" s="17">
        <v>233</v>
      </c>
      <c r="E819" s="55" t="s">
        <v>46</v>
      </c>
      <c r="F819" s="17" t="s">
        <v>1</v>
      </c>
      <c r="G819" s="36">
        <v>42000</v>
      </c>
      <c r="H819" s="16">
        <f t="shared" si="120"/>
        <v>4200</v>
      </c>
      <c r="J819" s="30" t="e">
        <f>#REF!</f>
        <v>#REF!</v>
      </c>
      <c r="K819" s="51" t="e">
        <f>J819-136000</f>
        <v>#REF!</v>
      </c>
    </row>
    <row r="820" spans="1:13" ht="18">
      <c r="A820" s="385"/>
      <c r="B820" s="371"/>
      <c r="C820" s="372"/>
      <c r="D820" s="372"/>
      <c r="E820" s="372"/>
      <c r="F820" s="372"/>
      <c r="G820" s="373"/>
      <c r="H820" s="26">
        <f>SUM(H811:H819)</f>
        <v>3834993</v>
      </c>
      <c r="J820" t="s">
        <v>71</v>
      </c>
      <c r="K820">
        <v>22050</v>
      </c>
      <c r="L820" s="37">
        <f>K820*5</f>
        <v>110250</v>
      </c>
    </row>
    <row r="821" spans="1:13" ht="18">
      <c r="A821" s="383">
        <v>3</v>
      </c>
      <c r="B821" s="12" t="s">
        <v>22</v>
      </c>
      <c r="C821" s="100">
        <f>E821/D821</f>
        <v>0.11931330472103005</v>
      </c>
      <c r="D821" s="12">
        <v>233</v>
      </c>
      <c r="E821" s="53" t="s">
        <v>108</v>
      </c>
      <c r="F821" s="12" t="s">
        <v>1</v>
      </c>
      <c r="G821" s="13">
        <v>21525</v>
      </c>
      <c r="H821" s="14">
        <f>G821*E821</f>
        <v>598395</v>
      </c>
      <c r="I821" s="43" t="s">
        <v>2</v>
      </c>
      <c r="J821" t="s">
        <v>39</v>
      </c>
      <c r="K821" t="s">
        <v>40</v>
      </c>
      <c r="L821" s="37">
        <f>136500*1</f>
        <v>136500</v>
      </c>
    </row>
    <row r="822" spans="1:13" ht="18">
      <c r="A822" s="384"/>
      <c r="B822" s="17" t="s">
        <v>6</v>
      </c>
      <c r="C822" s="101">
        <f>E822/D822</f>
        <v>6.5665236051502152E-2</v>
      </c>
      <c r="D822" s="17">
        <v>233</v>
      </c>
      <c r="E822" s="54" t="s">
        <v>113</v>
      </c>
      <c r="F822" s="17" t="s">
        <v>1</v>
      </c>
      <c r="G822" s="18">
        <v>136500</v>
      </c>
      <c r="H822" s="19">
        <f>G822*E822</f>
        <v>2088450</v>
      </c>
      <c r="J822" t="s">
        <v>70</v>
      </c>
      <c r="K822">
        <v>39900</v>
      </c>
      <c r="L822" s="37">
        <f>K822*3</f>
        <v>119700</v>
      </c>
    </row>
    <row r="823" spans="1:13" ht="18">
      <c r="A823" s="384"/>
      <c r="B823" s="17" t="s">
        <v>34</v>
      </c>
      <c r="C823" s="101">
        <f t="shared" ref="C823:C826" si="121">E823/D823</f>
        <v>3.004291845493562E-3</v>
      </c>
      <c r="D823" s="17">
        <v>233</v>
      </c>
      <c r="E823" s="54" t="s">
        <v>35</v>
      </c>
      <c r="F823" s="17" t="s">
        <v>1</v>
      </c>
      <c r="G823" s="18">
        <v>306600</v>
      </c>
      <c r="H823" s="19">
        <f t="shared" ref="H823:H828" si="122">G823*E823</f>
        <v>214620</v>
      </c>
      <c r="J823" t="s">
        <v>66</v>
      </c>
      <c r="K823">
        <v>60900</v>
      </c>
      <c r="L823" s="37">
        <f>K823*0.1</f>
        <v>6090</v>
      </c>
    </row>
    <row r="824" spans="1:13" ht="18">
      <c r="A824" s="384"/>
      <c r="B824" s="17" t="s">
        <v>36</v>
      </c>
      <c r="C824" s="101">
        <f t="shared" si="121"/>
        <v>3.733905579399141E-2</v>
      </c>
      <c r="D824" s="17">
        <v>233</v>
      </c>
      <c r="E824" s="54" t="s">
        <v>112</v>
      </c>
      <c r="F824" s="17" t="s">
        <v>1</v>
      </c>
      <c r="G824" s="18">
        <v>67200</v>
      </c>
      <c r="H824" s="19">
        <f t="shared" si="122"/>
        <v>584640</v>
      </c>
      <c r="J824" t="s">
        <v>67</v>
      </c>
      <c r="K824">
        <v>42000</v>
      </c>
      <c r="L824" s="51">
        <f>K824*0.1</f>
        <v>4200</v>
      </c>
    </row>
    <row r="825" spans="1:13" ht="18">
      <c r="A825" s="384"/>
      <c r="B825" s="17" t="s">
        <v>6</v>
      </c>
      <c r="C825" s="101">
        <f t="shared" si="121"/>
        <v>4.2918454935622317E-3</v>
      </c>
      <c r="D825" s="17">
        <v>233</v>
      </c>
      <c r="E825" s="57">
        <v>1</v>
      </c>
      <c r="F825" s="17" t="s">
        <v>1</v>
      </c>
      <c r="G825" s="18">
        <v>136500</v>
      </c>
      <c r="H825" s="19">
        <f t="shared" si="122"/>
        <v>136500</v>
      </c>
    </row>
    <row r="826" spans="1:13" ht="18">
      <c r="A826" s="384"/>
      <c r="B826" s="17" t="s">
        <v>77</v>
      </c>
      <c r="C826" s="101">
        <f t="shared" si="121"/>
        <v>3.4334763948497854E-2</v>
      </c>
      <c r="D826" s="17">
        <v>233</v>
      </c>
      <c r="E826" s="57">
        <v>8</v>
      </c>
      <c r="F826" s="17" t="s">
        <v>1</v>
      </c>
      <c r="G826" s="18">
        <v>23100</v>
      </c>
      <c r="H826" s="19">
        <f t="shared" si="122"/>
        <v>184800</v>
      </c>
      <c r="J826" s="30">
        <f>H825+H826</f>
        <v>321300</v>
      </c>
    </row>
    <row r="827" spans="1:13" ht="18">
      <c r="A827" s="384"/>
      <c r="B827" s="17" t="s">
        <v>12</v>
      </c>
      <c r="C827" s="42"/>
      <c r="D827" s="17">
        <v>233</v>
      </c>
      <c r="E827" s="54" t="s">
        <v>46</v>
      </c>
      <c r="F827" s="17" t="s">
        <v>1</v>
      </c>
      <c r="G827" s="18">
        <v>60900</v>
      </c>
      <c r="H827" s="19">
        <f t="shared" si="122"/>
        <v>6090</v>
      </c>
      <c r="I827" s="30"/>
      <c r="J827" s="97" t="e">
        <f>#REF!</f>
        <v>#REF!</v>
      </c>
      <c r="K827" s="30">
        <f>H829</f>
        <v>3817695</v>
      </c>
      <c r="L827" s="30" t="e">
        <f>J827-K827</f>
        <v>#REF!</v>
      </c>
    </row>
    <row r="828" spans="1:13" ht="18">
      <c r="A828" s="384"/>
      <c r="B828" s="20" t="s">
        <v>41</v>
      </c>
      <c r="C828" s="49"/>
      <c r="D828" s="17">
        <v>233</v>
      </c>
      <c r="E828" s="55" t="s">
        <v>46</v>
      </c>
      <c r="F828" s="17" t="s">
        <v>1</v>
      </c>
      <c r="G828" s="36">
        <v>42000</v>
      </c>
      <c r="H828" s="19">
        <f t="shared" si="122"/>
        <v>4200</v>
      </c>
      <c r="J828" t="e">
        <f>#REF!</f>
        <v>#REF!</v>
      </c>
      <c r="K828" s="30" t="e">
        <f>J828-136000</f>
        <v>#REF!</v>
      </c>
      <c r="L828" t="e">
        <f>#REF!</f>
        <v>#REF!</v>
      </c>
    </row>
    <row r="829" spans="1:13" ht="18">
      <c r="A829" s="385"/>
      <c r="B829" s="371"/>
      <c r="C829" s="372"/>
      <c r="D829" s="372"/>
      <c r="E829" s="372"/>
      <c r="F829" s="372"/>
      <c r="G829" s="373"/>
      <c r="H829" s="26">
        <f>SUM(H821:H828)</f>
        <v>3817695</v>
      </c>
      <c r="J829" s="30" t="e">
        <f>#REF!</f>
        <v>#REF!</v>
      </c>
      <c r="K829" s="30" t="e">
        <f>J829-136000</f>
        <v>#REF!</v>
      </c>
      <c r="L829" s="30" t="e">
        <f>L827-L828</f>
        <v>#REF!</v>
      </c>
    </row>
    <row r="830" spans="1:13" ht="18">
      <c r="A830" s="383">
        <v>4</v>
      </c>
      <c r="B830" s="98" t="s">
        <v>11</v>
      </c>
      <c r="C830" s="101">
        <f>E830/D830</f>
        <v>0.11931330472103005</v>
      </c>
      <c r="D830" s="98">
        <v>233</v>
      </c>
      <c r="E830" s="190">
        <v>27.8</v>
      </c>
      <c r="F830" s="98" t="s">
        <v>1</v>
      </c>
      <c r="G830" s="99">
        <v>21525</v>
      </c>
      <c r="H830" s="39">
        <f>E830*G830</f>
        <v>598395</v>
      </c>
      <c r="I830" s="43" t="s">
        <v>2</v>
      </c>
      <c r="K830" s="37"/>
    </row>
    <row r="831" spans="1:13" ht="18">
      <c r="A831" s="384"/>
      <c r="B831" s="17" t="s">
        <v>42</v>
      </c>
      <c r="C831" s="101">
        <f>E831/D831</f>
        <v>6.1373390557939916E-2</v>
      </c>
      <c r="D831" s="17">
        <v>233</v>
      </c>
      <c r="E831" s="42">
        <v>14.3</v>
      </c>
      <c r="F831" s="17" t="s">
        <v>4</v>
      </c>
      <c r="G831" s="18">
        <v>162000</v>
      </c>
      <c r="H831" s="19">
        <f>E831*G831</f>
        <v>2316600</v>
      </c>
    </row>
    <row r="832" spans="1:13" ht="18">
      <c r="A832" s="384"/>
      <c r="B832" s="17" t="s">
        <v>43</v>
      </c>
      <c r="C832" s="101">
        <f t="shared" ref="C832:C834" si="123">E832/D832</f>
        <v>0.55793991416309008</v>
      </c>
      <c r="D832" s="17">
        <v>233</v>
      </c>
      <c r="E832" s="42">
        <v>130</v>
      </c>
      <c r="F832" s="17" t="s">
        <v>3</v>
      </c>
      <c r="G832" s="18">
        <v>3456</v>
      </c>
      <c r="H832" s="19">
        <f t="shared" ref="H832:H836" si="124">E832*G832</f>
        <v>449280</v>
      </c>
    </row>
    <row r="833" spans="1:12" ht="18">
      <c r="A833" s="384"/>
      <c r="B833" s="17" t="s">
        <v>44</v>
      </c>
      <c r="C833" s="101">
        <f t="shared" si="123"/>
        <v>2.1459227467811159E-2</v>
      </c>
      <c r="D833" s="17">
        <v>233</v>
      </c>
      <c r="E833" s="42">
        <v>5</v>
      </c>
      <c r="F833" s="17" t="s">
        <v>1</v>
      </c>
      <c r="G833" s="18">
        <v>31500</v>
      </c>
      <c r="H833" s="19">
        <f t="shared" si="124"/>
        <v>157500</v>
      </c>
    </row>
    <row r="834" spans="1:12" ht="18">
      <c r="A834" s="384"/>
      <c r="B834" s="17" t="s">
        <v>13</v>
      </c>
      <c r="C834" s="101">
        <f t="shared" si="123"/>
        <v>4.2918454935622317E-3</v>
      </c>
      <c r="D834" s="17">
        <v>233</v>
      </c>
      <c r="E834" s="42">
        <v>1</v>
      </c>
      <c r="F834" s="17" t="s">
        <v>1</v>
      </c>
      <c r="G834" s="18">
        <v>173250</v>
      </c>
      <c r="H834" s="19">
        <f t="shared" si="124"/>
        <v>173250</v>
      </c>
      <c r="J834" s="30">
        <f>H834+H835+H836</f>
        <v>292740</v>
      </c>
    </row>
    <row r="835" spans="1:12" ht="18">
      <c r="A835" s="384"/>
      <c r="B835" s="17" t="s">
        <v>119</v>
      </c>
      <c r="C835" s="48"/>
      <c r="D835" s="17">
        <v>233</v>
      </c>
      <c r="E835" s="42">
        <v>6</v>
      </c>
      <c r="F835" s="17" t="s">
        <v>1</v>
      </c>
      <c r="G835" s="18">
        <v>18900</v>
      </c>
      <c r="H835" s="19">
        <f t="shared" si="124"/>
        <v>113400</v>
      </c>
      <c r="I835" s="30">
        <f>H834+H833</f>
        <v>330750</v>
      </c>
      <c r="J835" s="30" t="e">
        <f>H835+H836+#REF!</f>
        <v>#REF!</v>
      </c>
    </row>
    <row r="836" spans="1:12" ht="18">
      <c r="A836" s="384"/>
      <c r="B836" s="17" t="s">
        <v>12</v>
      </c>
      <c r="C836" s="48"/>
      <c r="D836" s="17"/>
      <c r="E836" s="42">
        <v>0.1</v>
      </c>
      <c r="F836" s="17" t="s">
        <v>1</v>
      </c>
      <c r="G836" s="18">
        <v>60900</v>
      </c>
      <c r="H836" s="19">
        <f t="shared" si="124"/>
        <v>6090</v>
      </c>
    </row>
    <row r="837" spans="1:12" ht="18">
      <c r="A837" s="384"/>
      <c r="B837" s="17" t="s">
        <v>41</v>
      </c>
      <c r="C837" s="48"/>
      <c r="D837" s="17"/>
      <c r="E837" s="197">
        <v>0.1</v>
      </c>
      <c r="F837" s="17" t="s">
        <v>1</v>
      </c>
      <c r="G837" s="18">
        <v>42000</v>
      </c>
      <c r="H837" s="19">
        <v>4200</v>
      </c>
    </row>
    <row r="838" spans="1:12" ht="18">
      <c r="A838" s="384"/>
      <c r="B838" s="17"/>
      <c r="C838" s="42"/>
      <c r="D838" s="20"/>
      <c r="E838" s="192"/>
      <c r="F838" s="27"/>
      <c r="G838" s="18"/>
      <c r="H838" s="28">
        <f>SUM(H830:H837)</f>
        <v>3818715</v>
      </c>
      <c r="J838" s="30" t="e">
        <f>#REF!</f>
        <v>#REF!</v>
      </c>
      <c r="K838" s="30">
        <f>H838</f>
        <v>3818715</v>
      </c>
      <c r="L838" s="30" t="e">
        <f>J838-K838</f>
        <v>#REF!</v>
      </c>
    </row>
    <row r="839" spans="1:12" s="31" customFormat="1" ht="18">
      <c r="A839" s="381">
        <v>5</v>
      </c>
      <c r="B839" s="12" t="s">
        <v>22</v>
      </c>
      <c r="C839" s="101">
        <f>E839/D839</f>
        <v>0.11931330472103005</v>
      </c>
      <c r="D839" s="17">
        <v>233</v>
      </c>
      <c r="E839" s="53" t="s">
        <v>108</v>
      </c>
      <c r="F839" s="67" t="s">
        <v>1</v>
      </c>
      <c r="G839" s="13">
        <v>21525</v>
      </c>
      <c r="H839" s="14">
        <f>E839*G839</f>
        <v>598395</v>
      </c>
      <c r="I839" s="71" t="s">
        <v>2</v>
      </c>
      <c r="K839" s="72">
        <f>H838-K838</f>
        <v>0</v>
      </c>
    </row>
    <row r="840" spans="1:12" s="31" customFormat="1" ht="18">
      <c r="A840" s="382"/>
      <c r="B840" s="38" t="s">
        <v>49</v>
      </c>
      <c r="C840" s="101">
        <f>E840/D840</f>
        <v>3.8197424892703863E-2</v>
      </c>
      <c r="D840" s="17">
        <v>233</v>
      </c>
      <c r="E840" s="58">
        <v>8.9</v>
      </c>
      <c r="F840" s="68" t="s">
        <v>1</v>
      </c>
      <c r="G840" s="18">
        <v>199500</v>
      </c>
      <c r="H840" s="19">
        <f>E840*G840</f>
        <v>1775550</v>
      </c>
    </row>
    <row r="841" spans="1:12" s="31" customFormat="1" ht="18">
      <c r="A841" s="382"/>
      <c r="B841" s="17" t="s">
        <v>87</v>
      </c>
      <c r="C841" s="101">
        <f t="shared" ref="C841:C845" si="125">E841/D841</f>
        <v>2.3605150214592276E-2</v>
      </c>
      <c r="D841" s="17">
        <v>233</v>
      </c>
      <c r="E841" s="58">
        <v>5.5</v>
      </c>
      <c r="F841" s="68" t="s">
        <v>1</v>
      </c>
      <c r="G841" s="18">
        <v>123900</v>
      </c>
      <c r="H841" s="19">
        <f t="shared" ref="H841:H848" si="126">E841*G841</f>
        <v>681450</v>
      </c>
      <c r="I841" s="44"/>
    </row>
    <row r="842" spans="1:12" s="31" customFormat="1" ht="18">
      <c r="A842" s="382"/>
      <c r="B842" s="17" t="s">
        <v>6</v>
      </c>
      <c r="C842" s="101">
        <f t="shared" si="125"/>
        <v>4.2918454935622317E-3</v>
      </c>
      <c r="D842" s="17">
        <v>233</v>
      </c>
      <c r="E842" s="57">
        <v>1</v>
      </c>
      <c r="F842" s="68" t="s">
        <v>1</v>
      </c>
      <c r="G842" s="18">
        <v>136500</v>
      </c>
      <c r="H842" s="19">
        <f t="shared" si="126"/>
        <v>136500</v>
      </c>
      <c r="I842" s="44"/>
    </row>
    <row r="843" spans="1:12" s="31" customFormat="1" ht="20.399999999999999">
      <c r="A843" s="382"/>
      <c r="B843" s="17" t="s">
        <v>9</v>
      </c>
      <c r="C843" s="101">
        <f t="shared" si="125"/>
        <v>4.2918454935622317E-3</v>
      </c>
      <c r="D843" s="17">
        <v>233</v>
      </c>
      <c r="E843" s="59">
        <v>1</v>
      </c>
      <c r="F843" s="68" t="s">
        <v>1</v>
      </c>
      <c r="G843" s="18">
        <v>36720</v>
      </c>
      <c r="H843" s="19">
        <f t="shared" si="126"/>
        <v>36720</v>
      </c>
      <c r="I843" s="65"/>
    </row>
    <row r="844" spans="1:12" s="31" customFormat="1" ht="18">
      <c r="A844" s="382"/>
      <c r="B844" s="17" t="s">
        <v>50</v>
      </c>
      <c r="C844" s="101">
        <f t="shared" si="125"/>
        <v>6.4377682403433476E-3</v>
      </c>
      <c r="D844" s="17">
        <v>233</v>
      </c>
      <c r="E844" s="59">
        <v>1.5</v>
      </c>
      <c r="F844" s="68" t="s">
        <v>1</v>
      </c>
      <c r="G844" s="18">
        <v>29400</v>
      </c>
      <c r="H844" s="19">
        <f t="shared" si="126"/>
        <v>44100</v>
      </c>
    </row>
    <row r="845" spans="1:12" s="31" customFormat="1" ht="18">
      <c r="A845" s="382"/>
      <c r="B845" s="17" t="s">
        <v>31</v>
      </c>
      <c r="C845" s="101">
        <f t="shared" si="125"/>
        <v>3.4334763948497854E-2</v>
      </c>
      <c r="D845" s="17">
        <v>233</v>
      </c>
      <c r="E845" s="57">
        <v>8</v>
      </c>
      <c r="F845" s="68" t="s">
        <v>1</v>
      </c>
      <c r="G845" s="18">
        <v>49350</v>
      </c>
      <c r="H845" s="19">
        <f t="shared" si="126"/>
        <v>394800</v>
      </c>
    </row>
    <row r="846" spans="1:12" s="31" customFormat="1" ht="18">
      <c r="A846" s="382"/>
      <c r="B846" s="17" t="s">
        <v>120</v>
      </c>
      <c r="C846" s="48"/>
      <c r="D846" s="17">
        <v>233</v>
      </c>
      <c r="E846" s="57">
        <v>8</v>
      </c>
      <c r="F846" s="68" t="s">
        <v>1</v>
      </c>
      <c r="G846" s="36">
        <v>18900</v>
      </c>
      <c r="H846" s="19">
        <f t="shared" si="126"/>
        <v>151200</v>
      </c>
    </row>
    <row r="847" spans="1:12" s="31" customFormat="1" ht="18">
      <c r="A847" s="382"/>
      <c r="B847" s="17" t="s">
        <v>12</v>
      </c>
      <c r="C847" s="76"/>
      <c r="D847" s="17">
        <v>233</v>
      </c>
      <c r="E847" s="59">
        <v>0.1</v>
      </c>
      <c r="F847" s="68" t="s">
        <v>1</v>
      </c>
      <c r="G847" s="18">
        <v>60900</v>
      </c>
      <c r="H847" s="19">
        <f t="shared" si="126"/>
        <v>6090</v>
      </c>
    </row>
    <row r="848" spans="1:12" s="31" customFormat="1" ht="18">
      <c r="A848" s="382"/>
      <c r="B848" s="17" t="s">
        <v>51</v>
      </c>
      <c r="C848" s="76"/>
      <c r="D848" s="17">
        <v>233</v>
      </c>
      <c r="E848" s="59">
        <v>0.1</v>
      </c>
      <c r="F848" s="68" t="s">
        <v>1</v>
      </c>
      <c r="G848" s="36">
        <v>42000</v>
      </c>
      <c r="H848" s="19">
        <f t="shared" si="126"/>
        <v>4200</v>
      </c>
    </row>
    <row r="849" spans="1:13" s="31" customFormat="1" ht="18">
      <c r="A849" s="77"/>
      <c r="B849" s="78"/>
      <c r="C849" s="79"/>
      <c r="D849" s="79"/>
      <c r="E849" s="79"/>
      <c r="F849" s="79"/>
      <c r="G849" s="80"/>
      <c r="H849" s="81">
        <f>SUM(H839:H848)</f>
        <v>3829005</v>
      </c>
      <c r="J849" s="93" t="e">
        <f>#REF!</f>
        <v>#REF!</v>
      </c>
      <c r="K849" s="72">
        <f>H849</f>
        <v>3829005</v>
      </c>
      <c r="L849" s="72" t="e">
        <f>J849-K849</f>
        <v>#REF!</v>
      </c>
    </row>
    <row r="850" spans="1:13" s="31" customFormat="1" ht="18">
      <c r="A850" s="381">
        <v>6</v>
      </c>
      <c r="B850" s="67" t="s">
        <v>22</v>
      </c>
      <c r="C850" s="101">
        <f t="shared" ref="C850:C857" si="127">E850/D850</f>
        <v>0.11939655172413793</v>
      </c>
      <c r="D850" s="68">
        <v>232</v>
      </c>
      <c r="E850" s="198" t="s">
        <v>121</v>
      </c>
      <c r="F850" s="68" t="s">
        <v>1</v>
      </c>
      <c r="G850" s="69">
        <v>21525</v>
      </c>
      <c r="H850" s="39">
        <f>E850*G850</f>
        <v>596242.5</v>
      </c>
      <c r="I850" s="71" t="s">
        <v>2</v>
      </c>
      <c r="J850" s="72"/>
      <c r="K850" s="72">
        <f>K849-H849</f>
        <v>0</v>
      </c>
    </row>
    <row r="851" spans="1:13" s="31" customFormat="1" ht="18">
      <c r="A851" s="382"/>
      <c r="B851" s="68" t="s">
        <v>10</v>
      </c>
      <c r="C851" s="101">
        <f t="shared" si="127"/>
        <v>7.7586206896551727E-2</v>
      </c>
      <c r="D851" s="68">
        <v>232</v>
      </c>
      <c r="E851" s="76">
        <v>18</v>
      </c>
      <c r="F851" s="68" t="s">
        <v>1</v>
      </c>
      <c r="G851" s="73">
        <v>131250</v>
      </c>
      <c r="H851" s="19">
        <f>E851*G851</f>
        <v>2362500</v>
      </c>
      <c r="K851" s="72"/>
    </row>
    <row r="852" spans="1:13" s="31" customFormat="1" ht="18">
      <c r="A852" s="382"/>
      <c r="B852" s="68" t="s">
        <v>7</v>
      </c>
      <c r="C852" s="101">
        <f t="shared" si="127"/>
        <v>0.56034482758620685</v>
      </c>
      <c r="D852" s="68">
        <v>232</v>
      </c>
      <c r="E852" s="76">
        <v>130</v>
      </c>
      <c r="F852" s="68" t="s">
        <v>1</v>
      </c>
      <c r="G852" s="73">
        <v>3672</v>
      </c>
      <c r="H852" s="19">
        <f t="shared" ref="H852:H857" si="128">E852*G852</f>
        <v>477360</v>
      </c>
    </row>
    <row r="853" spans="1:13" s="31" customFormat="1" ht="18">
      <c r="A853" s="382"/>
      <c r="B853" s="68" t="s">
        <v>6</v>
      </c>
      <c r="C853" s="101">
        <f t="shared" si="127"/>
        <v>4.3103448275862068E-3</v>
      </c>
      <c r="D853" s="68">
        <v>232</v>
      </c>
      <c r="E853" s="76">
        <v>1</v>
      </c>
      <c r="F853" s="68" t="s">
        <v>1</v>
      </c>
      <c r="G853" s="73">
        <v>136500</v>
      </c>
      <c r="H853" s="19">
        <f t="shared" si="128"/>
        <v>136500</v>
      </c>
    </row>
    <row r="854" spans="1:13" s="31" customFormat="1" ht="18">
      <c r="A854" s="382"/>
      <c r="B854" s="68" t="s">
        <v>8</v>
      </c>
      <c r="C854" s="101"/>
      <c r="D854" s="68">
        <v>232</v>
      </c>
      <c r="E854" s="191" t="s">
        <v>26</v>
      </c>
      <c r="F854" s="68" t="s">
        <v>1</v>
      </c>
      <c r="G854" s="74">
        <v>58320</v>
      </c>
      <c r="H854" s="19">
        <f t="shared" si="128"/>
        <v>58320</v>
      </c>
      <c r="J854" s="72" t="e">
        <f>#REF!</f>
        <v>#REF!</v>
      </c>
      <c r="K854" s="72" t="e">
        <f>#REF!</f>
        <v>#REF!</v>
      </c>
      <c r="L854" s="72">
        <f>H858</f>
        <v>3812332.5</v>
      </c>
      <c r="M854" s="72" t="e">
        <f>K854-L854</f>
        <v>#REF!</v>
      </c>
    </row>
    <row r="855" spans="1:13" s="31" customFormat="1" ht="18">
      <c r="A855" s="382"/>
      <c r="B855" s="68" t="s">
        <v>84</v>
      </c>
      <c r="C855" s="101"/>
      <c r="D855" s="68">
        <v>232</v>
      </c>
      <c r="E855" s="76">
        <v>0.1</v>
      </c>
      <c r="F855" s="68" t="s">
        <v>1</v>
      </c>
      <c r="G855" s="73">
        <v>60900</v>
      </c>
      <c r="H855" s="19">
        <f t="shared" si="128"/>
        <v>6090</v>
      </c>
      <c r="K855" s="72" t="e">
        <f>H858-K854</f>
        <v>#REF!</v>
      </c>
    </row>
    <row r="856" spans="1:13" s="31" customFormat="1" ht="18">
      <c r="A856" s="382"/>
      <c r="B856" s="68" t="s">
        <v>9</v>
      </c>
      <c r="C856" s="101"/>
      <c r="D856" s="68">
        <v>232</v>
      </c>
      <c r="E856" s="191" t="s">
        <v>26</v>
      </c>
      <c r="F856" s="68" t="s">
        <v>1</v>
      </c>
      <c r="G856" s="73">
        <v>36720</v>
      </c>
      <c r="H856" s="19">
        <f t="shared" si="128"/>
        <v>36720</v>
      </c>
      <c r="M856" s="72" t="e">
        <f>H857-M854</f>
        <v>#REF!</v>
      </c>
    </row>
    <row r="857" spans="1:13" s="31" customFormat="1" ht="18">
      <c r="A857" s="382"/>
      <c r="B857" s="86" t="s">
        <v>85</v>
      </c>
      <c r="C857" s="101">
        <f t="shared" si="127"/>
        <v>2.575107296137339E-2</v>
      </c>
      <c r="D857" s="68">
        <v>233</v>
      </c>
      <c r="E857" s="75">
        <v>6</v>
      </c>
      <c r="F857" s="68" t="s">
        <v>1</v>
      </c>
      <c r="G857" s="73">
        <v>23100</v>
      </c>
      <c r="H857" s="19">
        <f t="shared" si="128"/>
        <v>138600</v>
      </c>
      <c r="J857" s="72" t="e">
        <f>#REF!</f>
        <v>#REF!</v>
      </c>
      <c r="K857" s="72" t="e">
        <f>J857-136000</f>
        <v>#REF!</v>
      </c>
    </row>
    <row r="858" spans="1:13" ht="18">
      <c r="A858" s="2"/>
      <c r="B858" s="3"/>
      <c r="C858" s="50"/>
      <c r="D858" s="2"/>
      <c r="E858" s="195"/>
      <c r="F858" s="5"/>
      <c r="G858" s="2"/>
      <c r="H858" s="26">
        <f>SUM(H850:H857)</f>
        <v>3812332.5</v>
      </c>
      <c r="J858" t="e">
        <f>#REF!</f>
        <v>#REF!</v>
      </c>
      <c r="K858" s="37" t="e">
        <f>J858-136000</f>
        <v>#REF!</v>
      </c>
    </row>
    <row r="890" spans="1:9" ht="15.6">
      <c r="A890" s="6" t="s">
        <v>0</v>
      </c>
      <c r="B890" s="6"/>
    </row>
    <row r="891" spans="1:9" ht="26.4" customHeight="1">
      <c r="A891" s="375" t="s">
        <v>56</v>
      </c>
      <c r="B891" s="375"/>
      <c r="C891" s="375"/>
      <c r="D891" s="375"/>
      <c r="E891" s="375"/>
      <c r="F891" s="375"/>
      <c r="G891" s="375"/>
      <c r="H891" s="375"/>
    </row>
    <row r="892" spans="1:9" ht="26.4" customHeight="1">
      <c r="A892" s="87"/>
      <c r="B892" s="376" t="s">
        <v>104</v>
      </c>
      <c r="C892" s="376"/>
      <c r="D892" s="376"/>
      <c r="E892" s="376"/>
      <c r="F892" s="376"/>
      <c r="G892" s="376"/>
      <c r="H892" s="376"/>
    </row>
    <row r="893" spans="1:9" ht="40.200000000000003">
      <c r="A893" s="7" t="s">
        <v>15</v>
      </c>
      <c r="B893" s="8" t="s">
        <v>16</v>
      </c>
      <c r="C893" s="9" t="s">
        <v>17</v>
      </c>
      <c r="D893" s="10" t="s">
        <v>18</v>
      </c>
      <c r="E893" s="7" t="s">
        <v>19</v>
      </c>
      <c r="F893" s="11" t="s">
        <v>5</v>
      </c>
      <c r="G893" s="7" t="s">
        <v>20</v>
      </c>
      <c r="H893" s="7" t="s">
        <v>21</v>
      </c>
    </row>
    <row r="894" spans="1:9" ht="18">
      <c r="A894" s="383">
        <v>2</v>
      </c>
      <c r="B894" s="2" t="s">
        <v>22</v>
      </c>
      <c r="C894" s="50">
        <v>120</v>
      </c>
      <c r="D894" s="2">
        <v>225</v>
      </c>
      <c r="E894" s="194" t="s">
        <v>91</v>
      </c>
      <c r="F894" s="2" t="s">
        <v>1</v>
      </c>
      <c r="G894" s="4">
        <v>21525</v>
      </c>
      <c r="H894" s="5">
        <f t="shared" ref="H894:H901" si="129">E894*G894</f>
        <v>579022.5</v>
      </c>
      <c r="I894" s="43" t="s">
        <v>2</v>
      </c>
    </row>
    <row r="895" spans="1:9" ht="18">
      <c r="A895" s="384"/>
      <c r="B895" s="88" t="s">
        <v>63</v>
      </c>
      <c r="C895" s="41">
        <v>63</v>
      </c>
      <c r="D895" s="15">
        <v>225</v>
      </c>
      <c r="E895" s="196" t="s">
        <v>106</v>
      </c>
      <c r="F895" s="15" t="s">
        <v>1</v>
      </c>
      <c r="G895" s="83">
        <v>156600</v>
      </c>
      <c r="H895" s="16">
        <f t="shared" si="129"/>
        <v>1753920</v>
      </c>
    </row>
    <row r="896" spans="1:9" ht="18">
      <c r="A896" s="384"/>
      <c r="B896" s="85" t="s">
        <v>64</v>
      </c>
      <c r="C896" s="42">
        <v>0.3</v>
      </c>
      <c r="D896" s="15">
        <v>225</v>
      </c>
      <c r="E896" s="191" t="s">
        <v>103</v>
      </c>
      <c r="F896" s="17" t="s">
        <v>1</v>
      </c>
      <c r="G896" s="73">
        <v>21000</v>
      </c>
      <c r="H896" s="19">
        <f t="shared" si="129"/>
        <v>300300</v>
      </c>
    </row>
    <row r="897" spans="1:12" ht="18">
      <c r="A897" s="384"/>
      <c r="B897" s="84" t="s">
        <v>87</v>
      </c>
      <c r="C897" s="42">
        <v>37</v>
      </c>
      <c r="D897" s="15">
        <v>225</v>
      </c>
      <c r="E897" s="191" t="s">
        <v>107</v>
      </c>
      <c r="F897" s="17" t="s">
        <v>1</v>
      </c>
      <c r="G897" s="73">
        <v>125580</v>
      </c>
      <c r="H897" s="19">
        <f t="shared" si="129"/>
        <v>766038</v>
      </c>
    </row>
    <row r="898" spans="1:12" ht="18">
      <c r="A898" s="384"/>
      <c r="B898" s="84" t="s">
        <v>6</v>
      </c>
      <c r="C898" s="42"/>
      <c r="D898" s="15">
        <v>225</v>
      </c>
      <c r="E898" s="191" t="s">
        <v>26</v>
      </c>
      <c r="F898" s="17" t="s">
        <v>1</v>
      </c>
      <c r="G898" s="18">
        <v>136500</v>
      </c>
      <c r="H898" s="19">
        <f t="shared" si="129"/>
        <v>136500</v>
      </c>
    </row>
    <row r="899" spans="1:12" ht="18">
      <c r="A899" s="384"/>
      <c r="B899" s="84" t="s">
        <v>75</v>
      </c>
      <c r="C899" s="48"/>
      <c r="D899" s="15">
        <v>225</v>
      </c>
      <c r="E899" s="54" t="s">
        <v>46</v>
      </c>
      <c r="F899" s="17" t="s">
        <v>1</v>
      </c>
      <c r="G899" s="18">
        <v>49350</v>
      </c>
      <c r="H899" s="19">
        <f t="shared" si="129"/>
        <v>4935</v>
      </c>
      <c r="J899" t="e">
        <f>#REF!</f>
        <v>#REF!</v>
      </c>
      <c r="K899" s="37" t="e">
        <f>J899-136000</f>
        <v>#REF!</v>
      </c>
    </row>
    <row r="900" spans="1:12" ht="18">
      <c r="A900" s="384"/>
      <c r="B900" s="84" t="s">
        <v>76</v>
      </c>
      <c r="C900" s="66"/>
      <c r="D900" s="17"/>
      <c r="E900" s="55" t="s">
        <v>46</v>
      </c>
      <c r="F900" s="17" t="s">
        <v>1</v>
      </c>
      <c r="G900" s="36">
        <v>60900</v>
      </c>
      <c r="H900" s="19">
        <f t="shared" si="129"/>
        <v>6090</v>
      </c>
      <c r="K900" s="37" t="e">
        <f>K899-H902</f>
        <v>#REF!</v>
      </c>
    </row>
    <row r="901" spans="1:12" ht="18">
      <c r="A901" s="384"/>
      <c r="B901" s="84" t="s">
        <v>72</v>
      </c>
      <c r="C901" s="49"/>
      <c r="D901" s="17">
        <v>225</v>
      </c>
      <c r="E901" s="55" t="s">
        <v>68</v>
      </c>
      <c r="F901" s="17" t="s">
        <v>1</v>
      </c>
      <c r="G901" s="36">
        <v>22050</v>
      </c>
      <c r="H901" s="19">
        <f t="shared" si="129"/>
        <v>110250</v>
      </c>
      <c r="J901" s="30" t="e">
        <f>#REF!</f>
        <v>#REF!</v>
      </c>
      <c r="K901" s="51" t="e">
        <f>J901-136000</f>
        <v>#REF!</v>
      </c>
    </row>
    <row r="902" spans="1:12" ht="18">
      <c r="A902" s="385"/>
      <c r="B902" s="371"/>
      <c r="C902" s="372"/>
      <c r="D902" s="372"/>
      <c r="E902" s="372"/>
      <c r="F902" s="372"/>
      <c r="G902" s="373"/>
      <c r="H902" s="26">
        <f>SUM(H894:H901)</f>
        <v>3657055.5</v>
      </c>
      <c r="J902" t="s">
        <v>71</v>
      </c>
      <c r="K902">
        <v>22050</v>
      </c>
      <c r="L902" s="37">
        <f>K902*5</f>
        <v>110250</v>
      </c>
    </row>
    <row r="903" spans="1:12" ht="18">
      <c r="A903" s="383">
        <v>3</v>
      </c>
      <c r="B903" s="12" t="s">
        <v>22</v>
      </c>
      <c r="C903" s="62">
        <f>E903/D903</f>
        <v>0.12</v>
      </c>
      <c r="D903" s="12">
        <v>225</v>
      </c>
      <c r="E903" s="53" t="s">
        <v>32</v>
      </c>
      <c r="F903" s="12" t="s">
        <v>1</v>
      </c>
      <c r="G903" s="13">
        <v>21525</v>
      </c>
      <c r="H903" s="14">
        <f>E903*G903</f>
        <v>581175</v>
      </c>
      <c r="I903" s="43" t="s">
        <v>2</v>
      </c>
      <c r="J903" t="s">
        <v>39</v>
      </c>
      <c r="K903" t="s">
        <v>40</v>
      </c>
      <c r="L903" s="37">
        <f>136500*1</f>
        <v>136500</v>
      </c>
    </row>
    <row r="904" spans="1:12" ht="18">
      <c r="A904" s="384"/>
      <c r="B904" s="17" t="s">
        <v>6</v>
      </c>
      <c r="C904" s="48">
        <f>E904/D904</f>
        <v>6.5333333333333327E-2</v>
      </c>
      <c r="D904" s="17">
        <v>225</v>
      </c>
      <c r="E904" s="54" t="s">
        <v>61</v>
      </c>
      <c r="F904" s="17" t="s">
        <v>1</v>
      </c>
      <c r="G904" s="18">
        <v>136500</v>
      </c>
      <c r="H904" s="19">
        <f>E904*G904</f>
        <v>2006550</v>
      </c>
      <c r="J904" t="s">
        <v>70</v>
      </c>
      <c r="K904">
        <v>39900</v>
      </c>
      <c r="L904" s="37">
        <f>K904*3</f>
        <v>119700</v>
      </c>
    </row>
    <row r="905" spans="1:12" ht="18">
      <c r="A905" s="384"/>
      <c r="B905" s="17" t="s">
        <v>34</v>
      </c>
      <c r="C905" s="48">
        <f t="shared" ref="C905:C907" si="130">E905/D905</f>
        <v>3.1111111111111109E-3</v>
      </c>
      <c r="D905" s="17">
        <v>225</v>
      </c>
      <c r="E905" s="54" t="s">
        <v>35</v>
      </c>
      <c r="F905" s="17" t="s">
        <v>1</v>
      </c>
      <c r="G905" s="18">
        <v>306600</v>
      </c>
      <c r="H905" s="19">
        <f t="shared" ref="H905:H910" si="131">E905*G905</f>
        <v>214620</v>
      </c>
      <c r="J905" t="s">
        <v>66</v>
      </c>
      <c r="K905">
        <v>60900</v>
      </c>
      <c r="L905" s="37">
        <f>K905*0.1</f>
        <v>6090</v>
      </c>
    </row>
    <row r="906" spans="1:12" ht="18">
      <c r="A906" s="384"/>
      <c r="B906" s="17" t="s">
        <v>36</v>
      </c>
      <c r="C906" s="48">
        <f t="shared" si="130"/>
        <v>3.6888888888888895E-2</v>
      </c>
      <c r="D906" s="17">
        <v>225</v>
      </c>
      <c r="E906" s="54" t="s">
        <v>93</v>
      </c>
      <c r="F906" s="17" t="s">
        <v>1</v>
      </c>
      <c r="G906" s="18">
        <v>67200</v>
      </c>
      <c r="H906" s="19">
        <f t="shared" si="131"/>
        <v>557760</v>
      </c>
      <c r="J906" t="s">
        <v>67</v>
      </c>
      <c r="K906">
        <v>49350</v>
      </c>
      <c r="L906" s="51">
        <f>K906*0.1</f>
        <v>4935</v>
      </c>
    </row>
    <row r="907" spans="1:12" ht="18">
      <c r="A907" s="384"/>
      <c r="B907" s="17" t="s">
        <v>6</v>
      </c>
      <c r="C907" s="48">
        <f t="shared" si="130"/>
        <v>4.4444444444444444E-3</v>
      </c>
      <c r="D907" s="17">
        <v>225</v>
      </c>
      <c r="E907" s="57">
        <v>1</v>
      </c>
      <c r="F907" s="17" t="s">
        <v>1</v>
      </c>
      <c r="G907" s="19">
        <v>136500</v>
      </c>
      <c r="H907" s="19">
        <f t="shared" si="131"/>
        <v>136500</v>
      </c>
    </row>
    <row r="908" spans="1:12" ht="18">
      <c r="A908" s="384"/>
      <c r="B908" s="17" t="s">
        <v>77</v>
      </c>
      <c r="C908" s="42"/>
      <c r="D908" s="17">
        <v>225</v>
      </c>
      <c r="E908" s="57">
        <v>8</v>
      </c>
      <c r="F908" s="17" t="s">
        <v>1</v>
      </c>
      <c r="G908" s="18">
        <v>23100</v>
      </c>
      <c r="H908" s="19">
        <f t="shared" si="131"/>
        <v>184800</v>
      </c>
      <c r="J908" s="30">
        <f>H907+H908</f>
        <v>321300</v>
      </c>
    </row>
    <row r="909" spans="1:12" ht="18">
      <c r="A909" s="384"/>
      <c r="B909" s="17" t="s">
        <v>12</v>
      </c>
      <c r="C909" s="42"/>
      <c r="D909" s="17"/>
      <c r="E909" s="54" t="s">
        <v>46</v>
      </c>
      <c r="F909" s="17" t="s">
        <v>1</v>
      </c>
      <c r="G909" s="18">
        <v>60900</v>
      </c>
      <c r="H909" s="19">
        <f t="shared" si="131"/>
        <v>6090</v>
      </c>
    </row>
    <row r="910" spans="1:12" ht="18">
      <c r="A910" s="384"/>
      <c r="B910" s="20" t="s">
        <v>41</v>
      </c>
      <c r="C910" s="49"/>
      <c r="D910" s="17"/>
      <c r="E910" s="55" t="s">
        <v>46</v>
      </c>
      <c r="F910" s="17" t="s">
        <v>1</v>
      </c>
      <c r="G910" s="36">
        <v>49350</v>
      </c>
      <c r="H910" s="19">
        <f t="shared" si="131"/>
        <v>4935</v>
      </c>
      <c r="J910" t="e">
        <f>#REF!</f>
        <v>#REF!</v>
      </c>
      <c r="K910" s="30" t="e">
        <f>J910-136000</f>
        <v>#REF!</v>
      </c>
    </row>
    <row r="911" spans="1:12" ht="18">
      <c r="A911" s="385"/>
      <c r="B911" s="371"/>
      <c r="C911" s="372"/>
      <c r="D911" s="372"/>
      <c r="E911" s="372"/>
      <c r="F911" s="372"/>
      <c r="G911" s="373"/>
      <c r="H911" s="26">
        <f>SUM(H903:H910)</f>
        <v>3692430</v>
      </c>
      <c r="J911" s="30" t="e">
        <f>#REF!</f>
        <v>#REF!</v>
      </c>
      <c r="K911" s="30" t="e">
        <f>J911-136000</f>
        <v>#REF!</v>
      </c>
    </row>
    <row r="912" spans="1:12" ht="18">
      <c r="A912" s="383">
        <v>4</v>
      </c>
      <c r="B912" s="12" t="s">
        <v>22</v>
      </c>
      <c r="C912" s="62">
        <f>E912/D912</f>
        <v>0.12</v>
      </c>
      <c r="D912" s="12">
        <v>225</v>
      </c>
      <c r="E912" s="53" t="s">
        <v>32</v>
      </c>
      <c r="F912" s="12" t="s">
        <v>1</v>
      </c>
      <c r="G912" s="13">
        <v>21525</v>
      </c>
      <c r="H912" s="14">
        <f>E912*G912</f>
        <v>581175</v>
      </c>
      <c r="I912" s="43" t="s">
        <v>2</v>
      </c>
      <c r="K912" s="37"/>
    </row>
    <row r="913" spans="1:11" ht="18">
      <c r="A913" s="384"/>
      <c r="B913" s="17" t="s">
        <v>87</v>
      </c>
      <c r="C913" s="48">
        <f>E913/D913</f>
        <v>7.5555555555555556E-2</v>
      </c>
      <c r="D913" s="17">
        <v>225</v>
      </c>
      <c r="E913" s="58">
        <v>17</v>
      </c>
      <c r="F913" s="17" t="s">
        <v>1</v>
      </c>
      <c r="G913" s="18">
        <v>123900</v>
      </c>
      <c r="H913" s="19">
        <f>E913*G913</f>
        <v>2106300</v>
      </c>
    </row>
    <row r="914" spans="1:11" ht="18">
      <c r="A914" s="384"/>
      <c r="B914" s="17" t="s">
        <v>36</v>
      </c>
      <c r="C914" s="48">
        <f t="shared" ref="C914:C916" si="132">E914/D914</f>
        <v>3.2000000000000001E-2</v>
      </c>
      <c r="D914" s="17">
        <v>225</v>
      </c>
      <c r="E914" s="54" t="s">
        <v>105</v>
      </c>
      <c r="F914" s="17" t="s">
        <v>1</v>
      </c>
      <c r="G914" s="18">
        <v>67200</v>
      </c>
      <c r="H914" s="19">
        <f>E914*G914</f>
        <v>483840</v>
      </c>
    </row>
    <row r="915" spans="1:11" ht="18">
      <c r="A915" s="384"/>
      <c r="B915" s="17" t="s">
        <v>78</v>
      </c>
      <c r="C915" s="48">
        <f t="shared" si="132"/>
        <v>1.3333333333333334E-2</v>
      </c>
      <c r="D915" s="17">
        <v>225</v>
      </c>
      <c r="E915" s="54" t="s">
        <v>48</v>
      </c>
      <c r="F915" s="17" t="s">
        <v>1</v>
      </c>
      <c r="G915" s="18">
        <v>78750</v>
      </c>
      <c r="H915" s="19">
        <f t="shared" ref="H915:H919" si="133">E915*G915</f>
        <v>236250</v>
      </c>
    </row>
    <row r="916" spans="1:11" ht="18">
      <c r="A916" s="384"/>
      <c r="B916" s="17" t="s">
        <v>79</v>
      </c>
      <c r="C916" s="48">
        <f t="shared" si="132"/>
        <v>5.7777777777777775E-2</v>
      </c>
      <c r="D916" s="17">
        <v>225</v>
      </c>
      <c r="E916" s="54" t="s">
        <v>80</v>
      </c>
      <c r="F916" s="17" t="s">
        <v>1</v>
      </c>
      <c r="G916" s="18">
        <v>20478</v>
      </c>
      <c r="H916" s="19">
        <f t="shared" si="133"/>
        <v>266214</v>
      </c>
      <c r="J916" s="30">
        <f>H916+H917+H918</f>
        <v>279108</v>
      </c>
    </row>
    <row r="917" spans="1:11" ht="18">
      <c r="A917" s="384"/>
      <c r="B917" s="17" t="s">
        <v>81</v>
      </c>
      <c r="C917" s="48"/>
      <c r="D917" s="17">
        <v>225</v>
      </c>
      <c r="E917" s="54" t="s">
        <v>46</v>
      </c>
      <c r="F917" s="17" t="s">
        <v>1</v>
      </c>
      <c r="G917" s="18">
        <v>68040</v>
      </c>
      <c r="H917" s="19">
        <f t="shared" si="133"/>
        <v>6804</v>
      </c>
      <c r="I917" s="30">
        <f>H916+H915</f>
        <v>502464</v>
      </c>
      <c r="J917" s="30">
        <f>H917+H918+H919</f>
        <v>17829</v>
      </c>
    </row>
    <row r="918" spans="1:11" ht="18">
      <c r="A918" s="384"/>
      <c r="B918" s="17" t="s">
        <v>66</v>
      </c>
      <c r="C918" s="48"/>
      <c r="D918" s="17">
        <v>225</v>
      </c>
      <c r="E918" s="54" t="s">
        <v>46</v>
      </c>
      <c r="F918" s="17" t="s">
        <v>1</v>
      </c>
      <c r="G918" s="18">
        <v>60900</v>
      </c>
      <c r="H918" s="19">
        <f t="shared" si="133"/>
        <v>6090</v>
      </c>
    </row>
    <row r="919" spans="1:11" ht="18">
      <c r="A919" s="384"/>
      <c r="B919" s="17" t="s">
        <v>82</v>
      </c>
      <c r="C919" s="48"/>
      <c r="D919" s="17">
        <v>225</v>
      </c>
      <c r="E919" s="54" t="s">
        <v>46</v>
      </c>
      <c r="F919" s="17" t="s">
        <v>1</v>
      </c>
      <c r="G919" s="18">
        <v>49350</v>
      </c>
      <c r="H919" s="19">
        <f t="shared" si="133"/>
        <v>4935</v>
      </c>
    </row>
    <row r="920" spans="1:11" ht="18">
      <c r="A920" s="384"/>
      <c r="B920" s="17"/>
      <c r="C920" s="42"/>
      <c r="D920" s="20"/>
      <c r="E920" s="192"/>
      <c r="F920" s="27"/>
      <c r="G920" s="18"/>
      <c r="H920" s="28">
        <f>SUM(H912:H919)</f>
        <v>3691608</v>
      </c>
      <c r="J920" s="30" t="e">
        <f>#REF!</f>
        <v>#REF!</v>
      </c>
      <c r="K920" s="30" t="e">
        <f>J920-136000</f>
        <v>#REF!</v>
      </c>
    </row>
    <row r="921" spans="1:11" s="31" customFormat="1" ht="18">
      <c r="A921" s="381">
        <v>5</v>
      </c>
      <c r="B921" s="12" t="s">
        <v>22</v>
      </c>
      <c r="C921" s="62">
        <f>E921/D921</f>
        <v>0.12</v>
      </c>
      <c r="D921" s="68">
        <v>225</v>
      </c>
      <c r="E921" s="53" t="s">
        <v>32</v>
      </c>
      <c r="F921" s="67" t="s">
        <v>1</v>
      </c>
      <c r="G921" s="13">
        <v>21525</v>
      </c>
      <c r="H921" s="70">
        <f>E921*G921</f>
        <v>581175</v>
      </c>
      <c r="I921" s="71" t="s">
        <v>2</v>
      </c>
      <c r="K921" s="72" t="e">
        <f>H920-K920</f>
        <v>#REF!</v>
      </c>
    </row>
    <row r="922" spans="1:11" s="31" customFormat="1" ht="18">
      <c r="A922" s="382"/>
      <c r="B922" s="38" t="s">
        <v>49</v>
      </c>
      <c r="C922" s="48">
        <f>E922/D922</f>
        <v>3.6888888888888895E-2</v>
      </c>
      <c r="D922" s="68">
        <v>225</v>
      </c>
      <c r="E922" s="58">
        <v>8.3000000000000007</v>
      </c>
      <c r="F922" s="68" t="s">
        <v>1</v>
      </c>
      <c r="G922" s="18">
        <v>199500</v>
      </c>
      <c r="H922" s="74">
        <f>E922*G922</f>
        <v>1655850.0000000002</v>
      </c>
    </row>
    <row r="923" spans="1:11" s="31" customFormat="1" ht="18">
      <c r="A923" s="382"/>
      <c r="B923" s="17" t="s">
        <v>87</v>
      </c>
      <c r="C923" s="48">
        <f t="shared" ref="C923:C927" si="134">E923/D923</f>
        <v>2.4444444444444446E-2</v>
      </c>
      <c r="D923" s="68">
        <v>225</v>
      </c>
      <c r="E923" s="58">
        <v>5.5</v>
      </c>
      <c r="F923" s="17" t="s">
        <v>1</v>
      </c>
      <c r="G923" s="18">
        <v>123900</v>
      </c>
      <c r="H923" s="19">
        <f t="shared" ref="H923:H930" si="135">E923*G923</f>
        <v>681450</v>
      </c>
      <c r="I923" s="44"/>
    </row>
    <row r="924" spans="1:11" s="31" customFormat="1" ht="18">
      <c r="A924" s="382"/>
      <c r="B924" s="17" t="s">
        <v>6</v>
      </c>
      <c r="C924" s="48">
        <f t="shared" si="134"/>
        <v>4.4444444444444444E-3</v>
      </c>
      <c r="D924" s="68">
        <v>225</v>
      </c>
      <c r="E924" s="58">
        <v>1</v>
      </c>
      <c r="F924" s="68" t="s">
        <v>1</v>
      </c>
      <c r="G924" s="18">
        <v>136501</v>
      </c>
      <c r="H924" s="74">
        <f t="shared" si="135"/>
        <v>136501</v>
      </c>
      <c r="I924" s="44"/>
    </row>
    <row r="925" spans="1:11" s="31" customFormat="1" ht="20.399999999999999">
      <c r="A925" s="382"/>
      <c r="B925" s="17" t="s">
        <v>9</v>
      </c>
      <c r="C925" s="48">
        <f t="shared" si="134"/>
        <v>4.4444444444444444E-3</v>
      </c>
      <c r="D925" s="68">
        <v>225</v>
      </c>
      <c r="E925" s="57">
        <v>1</v>
      </c>
      <c r="F925" s="68" t="s">
        <v>1</v>
      </c>
      <c r="G925" s="18">
        <v>36720</v>
      </c>
      <c r="H925" s="74">
        <f t="shared" si="135"/>
        <v>36720</v>
      </c>
      <c r="I925" s="65"/>
    </row>
    <row r="926" spans="1:11" s="31" customFormat="1" ht="18">
      <c r="A926" s="382"/>
      <c r="B926" s="17" t="s">
        <v>50</v>
      </c>
      <c r="C926" s="48">
        <f t="shared" si="134"/>
        <v>6.6666666666666671E-3</v>
      </c>
      <c r="D926" s="68">
        <v>225</v>
      </c>
      <c r="E926" s="59">
        <v>1.5</v>
      </c>
      <c r="F926" s="68" t="s">
        <v>1</v>
      </c>
      <c r="G926" s="18">
        <v>36750</v>
      </c>
      <c r="H926" s="74">
        <f t="shared" si="135"/>
        <v>55125</v>
      </c>
    </row>
    <row r="927" spans="1:11" s="31" customFormat="1" ht="18">
      <c r="A927" s="382"/>
      <c r="B927" s="17" t="s">
        <v>31</v>
      </c>
      <c r="C927" s="48">
        <f t="shared" si="134"/>
        <v>3.5555555555555556E-2</v>
      </c>
      <c r="D927" s="68">
        <v>225</v>
      </c>
      <c r="E927" s="57">
        <v>8</v>
      </c>
      <c r="F927" s="68" t="s">
        <v>1</v>
      </c>
      <c r="G927" s="18">
        <v>47250</v>
      </c>
      <c r="H927" s="74">
        <f t="shared" si="135"/>
        <v>378000</v>
      </c>
    </row>
    <row r="928" spans="1:11" s="31" customFormat="1" ht="18">
      <c r="A928" s="382"/>
      <c r="B928" s="17" t="s">
        <v>12</v>
      </c>
      <c r="C928" s="76"/>
      <c r="D928" s="68"/>
      <c r="E928" s="59">
        <v>0.1</v>
      </c>
      <c r="F928" s="68" t="s">
        <v>1</v>
      </c>
      <c r="G928" s="18">
        <v>60900</v>
      </c>
      <c r="H928" s="74">
        <f t="shared" si="135"/>
        <v>6090</v>
      </c>
    </row>
    <row r="929" spans="1:12" s="31" customFormat="1" ht="18">
      <c r="A929" s="382"/>
      <c r="B929" s="17" t="s">
        <v>51</v>
      </c>
      <c r="C929" s="76"/>
      <c r="D929" s="68"/>
      <c r="E929" s="59">
        <v>0.1</v>
      </c>
      <c r="F929" s="68" t="s">
        <v>1</v>
      </c>
      <c r="G929" s="36">
        <v>49350</v>
      </c>
      <c r="H929" s="74">
        <f>E929*G929-1</f>
        <v>4934</v>
      </c>
    </row>
    <row r="930" spans="1:12" s="31" customFormat="1" ht="18">
      <c r="A930" s="382"/>
      <c r="B930" s="17" t="s">
        <v>83</v>
      </c>
      <c r="C930" s="76"/>
      <c r="D930" s="68"/>
      <c r="E930" s="199">
        <v>8</v>
      </c>
      <c r="F930" s="68" t="s">
        <v>1</v>
      </c>
      <c r="G930" s="73">
        <v>18900</v>
      </c>
      <c r="H930" s="74">
        <f t="shared" si="135"/>
        <v>151200</v>
      </c>
    </row>
    <row r="931" spans="1:12" s="31" customFormat="1" ht="18">
      <c r="A931" s="77"/>
      <c r="B931" s="78"/>
      <c r="C931" s="79"/>
      <c r="D931" s="79"/>
      <c r="E931" s="79"/>
      <c r="F931" s="79"/>
      <c r="G931" s="80"/>
      <c r="H931" s="81">
        <f>SUM(H921:H930)</f>
        <v>3687045</v>
      </c>
      <c r="J931" s="93" t="e">
        <f>#REF!</f>
        <v>#REF!</v>
      </c>
      <c r="K931" s="72" t="e">
        <f>J931-136000</f>
        <v>#REF!</v>
      </c>
      <c r="L931" s="72" t="e">
        <f>H931-K931</f>
        <v>#REF!</v>
      </c>
    </row>
    <row r="932" spans="1:12" s="31" customFormat="1" ht="18">
      <c r="A932" s="381">
        <v>6</v>
      </c>
      <c r="B932" s="67" t="s">
        <v>22</v>
      </c>
      <c r="C932" s="62">
        <f>E932/D932</f>
        <v>0.12</v>
      </c>
      <c r="D932" s="68">
        <v>225</v>
      </c>
      <c r="E932" s="198" t="s">
        <v>32</v>
      </c>
      <c r="F932" s="68" t="s">
        <v>1</v>
      </c>
      <c r="G932" s="69">
        <v>21525</v>
      </c>
      <c r="H932" s="39">
        <f>E932*G932</f>
        <v>581175</v>
      </c>
      <c r="I932" s="71" t="s">
        <v>2</v>
      </c>
      <c r="J932" s="72"/>
      <c r="K932" s="72" t="e">
        <f>K931-H931</f>
        <v>#REF!</v>
      </c>
    </row>
    <row r="933" spans="1:12" s="31" customFormat="1" ht="18">
      <c r="A933" s="382"/>
      <c r="B933" s="68" t="s">
        <v>10</v>
      </c>
      <c r="C933" s="48">
        <f>E933/D933</f>
        <v>7.644444444444444E-2</v>
      </c>
      <c r="D933" s="68">
        <v>225</v>
      </c>
      <c r="E933" s="76">
        <v>17.2</v>
      </c>
      <c r="F933" s="17" t="s">
        <v>1</v>
      </c>
      <c r="G933" s="73">
        <v>131250</v>
      </c>
      <c r="H933" s="19">
        <f>E933*G933</f>
        <v>2257500</v>
      </c>
      <c r="K933" s="72"/>
    </row>
    <row r="934" spans="1:12" s="31" customFormat="1" ht="18">
      <c r="A934" s="382"/>
      <c r="B934" s="68" t="s">
        <v>7</v>
      </c>
      <c r="C934" s="48">
        <f t="shared" ref="C934:C938" si="136">E934/D934</f>
        <v>0.57777777777777772</v>
      </c>
      <c r="D934" s="68">
        <v>225</v>
      </c>
      <c r="E934" s="76">
        <v>130</v>
      </c>
      <c r="F934" s="17" t="s">
        <v>1</v>
      </c>
      <c r="G934" s="73">
        <v>3672</v>
      </c>
      <c r="H934" s="19">
        <f t="shared" ref="H934:H939" si="137">E934*G934</f>
        <v>477360</v>
      </c>
    </row>
    <row r="935" spans="1:12" s="31" customFormat="1" ht="18">
      <c r="A935" s="382"/>
      <c r="B935" s="68" t="s">
        <v>6</v>
      </c>
      <c r="C935" s="48">
        <f t="shared" si="136"/>
        <v>4.4444444444444444E-3</v>
      </c>
      <c r="D935" s="68">
        <v>225</v>
      </c>
      <c r="E935" s="76">
        <v>1</v>
      </c>
      <c r="F935" s="68" t="s">
        <v>1</v>
      </c>
      <c r="G935" s="73">
        <v>136500</v>
      </c>
      <c r="H935" s="19">
        <f t="shared" si="137"/>
        <v>136500</v>
      </c>
    </row>
    <row r="936" spans="1:12" s="31" customFormat="1" ht="18">
      <c r="A936" s="382"/>
      <c r="B936" s="68" t="s">
        <v>8</v>
      </c>
      <c r="C936" s="48">
        <f t="shared" si="136"/>
        <v>4.4444444444444444E-3</v>
      </c>
      <c r="D936" s="68">
        <v>225</v>
      </c>
      <c r="E936" s="191" t="s">
        <v>26</v>
      </c>
      <c r="F936" s="68" t="s">
        <v>1</v>
      </c>
      <c r="G936" s="74">
        <v>58320</v>
      </c>
      <c r="H936" s="19">
        <f t="shared" si="137"/>
        <v>58320</v>
      </c>
      <c r="J936" s="72" t="e">
        <f>#REF!</f>
        <v>#REF!</v>
      </c>
      <c r="K936" s="72" t="e">
        <f>J936-136000</f>
        <v>#REF!</v>
      </c>
    </row>
    <row r="937" spans="1:12" s="31" customFormat="1" ht="18">
      <c r="A937" s="382"/>
      <c r="B937" s="68" t="s">
        <v>84</v>
      </c>
      <c r="C937" s="48">
        <f t="shared" si="136"/>
        <v>4.4444444444444447E-4</v>
      </c>
      <c r="D937" s="68">
        <v>225</v>
      </c>
      <c r="E937" s="76">
        <v>0.1</v>
      </c>
      <c r="F937" s="68" t="s">
        <v>1</v>
      </c>
      <c r="G937" s="73">
        <v>60900</v>
      </c>
      <c r="H937" s="19">
        <f t="shared" si="137"/>
        <v>6090</v>
      </c>
      <c r="K937" s="72" t="e">
        <f>H940-K936</f>
        <v>#REF!</v>
      </c>
    </row>
    <row r="938" spans="1:12" s="31" customFormat="1" ht="18">
      <c r="A938" s="382"/>
      <c r="B938" s="68" t="s">
        <v>9</v>
      </c>
      <c r="C938" s="48">
        <f t="shared" si="136"/>
        <v>4.4444444444444444E-3</v>
      </c>
      <c r="D938" s="68">
        <v>225</v>
      </c>
      <c r="E938" s="191" t="s">
        <v>26</v>
      </c>
      <c r="F938" s="68" t="s">
        <v>1</v>
      </c>
      <c r="G938" s="73">
        <v>36720</v>
      </c>
      <c r="H938" s="19">
        <f t="shared" si="137"/>
        <v>36720</v>
      </c>
    </row>
    <row r="939" spans="1:12" s="31" customFormat="1" ht="18">
      <c r="A939" s="382"/>
      <c r="B939" s="86" t="s">
        <v>85</v>
      </c>
      <c r="C939" s="76"/>
      <c r="D939" s="68">
        <v>225</v>
      </c>
      <c r="E939" s="75">
        <v>6</v>
      </c>
      <c r="F939" s="68" t="s">
        <v>1</v>
      </c>
      <c r="G939" s="73">
        <v>23100</v>
      </c>
      <c r="H939" s="19">
        <f t="shared" si="137"/>
        <v>138600</v>
      </c>
      <c r="J939" s="72" t="e">
        <f>#REF!</f>
        <v>#REF!</v>
      </c>
      <c r="K939" s="72" t="e">
        <f>J939-136000</f>
        <v>#REF!</v>
      </c>
    </row>
    <row r="940" spans="1:12" ht="18">
      <c r="A940" s="2"/>
      <c r="B940" s="82"/>
      <c r="C940" s="50"/>
      <c r="D940" s="2"/>
      <c r="E940" s="195"/>
      <c r="F940" s="5"/>
      <c r="G940" s="2"/>
      <c r="H940" s="26">
        <f>SUM(H932:H939)</f>
        <v>3692265</v>
      </c>
      <c r="J940" t="e">
        <f>#REF!</f>
        <v>#REF!</v>
      </c>
      <c r="K940" s="37" t="e">
        <f>J940-136000</f>
        <v>#REF!</v>
      </c>
    </row>
    <row r="941" spans="1:12" ht="18">
      <c r="A941" s="386" t="s">
        <v>28</v>
      </c>
      <c r="B941" s="386"/>
      <c r="C941" s="386" t="s">
        <v>29</v>
      </c>
      <c r="D941" s="386"/>
      <c r="E941" s="386"/>
      <c r="F941" s="1"/>
      <c r="G941" s="347" t="s">
        <v>59</v>
      </c>
      <c r="H941" s="347"/>
    </row>
    <row r="942" spans="1:12" ht="18">
      <c r="A942" s="33"/>
      <c r="B942" s="33"/>
      <c r="C942" s="33"/>
      <c r="D942" s="33"/>
      <c r="E942" s="33"/>
      <c r="F942" s="1"/>
      <c r="G942" s="33"/>
      <c r="H942" s="33"/>
    </row>
    <row r="943" spans="1:12" ht="18">
      <c r="A943" s="33"/>
      <c r="B943" s="33"/>
      <c r="C943" s="33"/>
      <c r="D943" s="33"/>
      <c r="E943" s="33"/>
      <c r="F943" s="1"/>
      <c r="G943" s="33"/>
      <c r="H943" s="33"/>
    </row>
    <row r="944" spans="1:12" ht="18">
      <c r="A944" s="33"/>
      <c r="B944" s="33"/>
      <c r="C944" s="33"/>
      <c r="D944" s="33"/>
      <c r="E944" s="33"/>
      <c r="F944" s="1"/>
      <c r="G944" s="33"/>
      <c r="H944" s="33"/>
    </row>
    <row r="945" spans="1:8" ht="18">
      <c r="A945" s="33"/>
      <c r="B945" s="33"/>
      <c r="C945" s="33"/>
      <c r="D945" s="33"/>
      <c r="E945" s="33"/>
      <c r="F945" s="1"/>
      <c r="G945" s="33"/>
      <c r="H945" s="33"/>
    </row>
    <row r="946" spans="1:8" ht="18">
      <c r="A946" s="33"/>
      <c r="B946" s="33"/>
      <c r="C946" s="33"/>
      <c r="D946" s="33"/>
      <c r="E946" s="33"/>
      <c r="F946" s="1"/>
      <c r="G946" s="33"/>
      <c r="H946" s="33"/>
    </row>
    <row r="947" spans="1:8" ht="18">
      <c r="A947" s="33"/>
      <c r="B947" s="33"/>
      <c r="C947" s="33"/>
      <c r="D947" s="33"/>
      <c r="E947" s="33"/>
      <c r="F947" s="1"/>
      <c r="G947" s="33"/>
      <c r="H947" s="33"/>
    </row>
    <row r="948" spans="1:8" ht="18">
      <c r="A948" s="33"/>
      <c r="B948" s="33"/>
      <c r="C948" s="33"/>
      <c r="D948" s="33"/>
      <c r="E948" s="33"/>
      <c r="F948" s="1"/>
      <c r="G948" s="33"/>
      <c r="H948" s="33"/>
    </row>
    <row r="949" spans="1:8" ht="18">
      <c r="A949" s="33"/>
      <c r="B949" s="33"/>
      <c r="C949" s="33"/>
      <c r="D949" s="33"/>
      <c r="E949" s="33"/>
      <c r="F949" s="1"/>
      <c r="G949" s="33"/>
      <c r="H949" s="33"/>
    </row>
    <row r="950" spans="1:8" ht="18">
      <c r="A950" s="33"/>
      <c r="B950" s="33"/>
      <c r="C950" s="33"/>
      <c r="D950" s="33"/>
      <c r="E950" s="33"/>
      <c r="F950" s="1"/>
      <c r="G950" s="33"/>
      <c r="H950" s="33"/>
    </row>
    <row r="951" spans="1:8" ht="18">
      <c r="A951" s="33"/>
      <c r="B951" s="33"/>
      <c r="C951" s="33"/>
      <c r="D951" s="33"/>
      <c r="E951" s="33"/>
      <c r="F951" s="1"/>
      <c r="G951" s="33"/>
      <c r="H951" s="33"/>
    </row>
    <row r="952" spans="1:8" ht="18">
      <c r="A952" s="33"/>
      <c r="B952" s="33"/>
      <c r="C952" s="33"/>
      <c r="D952" s="33"/>
      <c r="E952" s="33"/>
      <c r="F952" s="1"/>
      <c r="G952" s="33"/>
      <c r="H952" s="33"/>
    </row>
    <row r="953" spans="1:8" ht="18">
      <c r="A953" s="33"/>
      <c r="B953" s="33"/>
      <c r="C953" s="33"/>
      <c r="D953" s="33"/>
      <c r="E953" s="33"/>
      <c r="F953" s="1"/>
      <c r="G953" s="33"/>
      <c r="H953" s="33"/>
    </row>
    <row r="954" spans="1:8" ht="18">
      <c r="A954" s="33"/>
      <c r="B954" s="33"/>
      <c r="C954" s="33"/>
      <c r="D954" s="33"/>
      <c r="E954" s="33"/>
      <c r="F954" s="1"/>
      <c r="G954" s="33"/>
      <c r="H954" s="33"/>
    </row>
    <row r="955" spans="1:8" ht="18">
      <c r="A955" s="33"/>
      <c r="B955" s="33"/>
      <c r="C955" s="33"/>
      <c r="D955" s="33"/>
      <c r="E955" s="33"/>
      <c r="F955" s="1"/>
      <c r="G955" s="33"/>
      <c r="H955" s="33"/>
    </row>
    <row r="956" spans="1:8" ht="18">
      <c r="A956" s="33"/>
      <c r="B956" s="33"/>
      <c r="C956" s="33"/>
      <c r="D956" s="33"/>
      <c r="E956" s="33"/>
      <c r="F956" s="1"/>
      <c r="G956" s="33"/>
      <c r="H956" s="33"/>
    </row>
    <row r="957" spans="1:8" ht="18">
      <c r="A957" s="33"/>
      <c r="B957" s="33"/>
      <c r="C957" s="33"/>
      <c r="D957" s="33"/>
      <c r="E957" s="33"/>
      <c r="F957" s="1"/>
      <c r="G957" s="33"/>
      <c r="H957" s="33"/>
    </row>
    <row r="958" spans="1:8" ht="18">
      <c r="A958" s="33"/>
      <c r="B958" s="33"/>
      <c r="C958" s="33"/>
      <c r="D958" s="33"/>
      <c r="E958" s="33"/>
      <c r="F958" s="1"/>
      <c r="G958" s="33"/>
      <c r="H958" s="33"/>
    </row>
    <row r="960" spans="1:8" ht="22.8">
      <c r="A960" s="375" t="s">
        <v>56</v>
      </c>
      <c r="B960" s="375"/>
      <c r="C960" s="375"/>
      <c r="D960" s="375"/>
      <c r="E960" s="375"/>
      <c r="F960" s="375"/>
      <c r="G960" s="375"/>
      <c r="H960" s="375"/>
    </row>
    <row r="961" spans="1:12" ht="22.8">
      <c r="A961" s="87"/>
      <c r="B961" s="376" t="s">
        <v>95</v>
      </c>
      <c r="C961" s="376"/>
      <c r="D961" s="376"/>
      <c r="E961" s="376"/>
      <c r="F961" s="376"/>
      <c r="G961" s="376"/>
      <c r="H961" s="376"/>
    </row>
    <row r="962" spans="1:12" ht="40.200000000000003">
      <c r="A962" s="7" t="s">
        <v>15</v>
      </c>
      <c r="B962" s="8" t="s">
        <v>16</v>
      </c>
      <c r="C962" s="9" t="s">
        <v>17</v>
      </c>
      <c r="D962" s="10" t="s">
        <v>18</v>
      </c>
      <c r="E962" s="45" t="s">
        <v>19</v>
      </c>
      <c r="F962" s="11" t="s">
        <v>5</v>
      </c>
      <c r="G962" s="7" t="s">
        <v>20</v>
      </c>
      <c r="H962" s="7" t="s">
        <v>21</v>
      </c>
    </row>
    <row r="963" spans="1:12" ht="18">
      <c r="A963" s="383">
        <v>2</v>
      </c>
      <c r="B963" s="12" t="s">
        <v>22</v>
      </c>
      <c r="C963" s="92">
        <f>E963/D963</f>
        <v>0.12</v>
      </c>
      <c r="D963" s="12">
        <v>225</v>
      </c>
      <c r="E963" s="53" t="s">
        <v>32</v>
      </c>
      <c r="F963" s="12" t="s">
        <v>1</v>
      </c>
      <c r="G963" s="13">
        <v>21525</v>
      </c>
      <c r="H963" s="14">
        <f>E963*G963</f>
        <v>581175</v>
      </c>
      <c r="I963" s="43" t="s">
        <v>2</v>
      </c>
    </row>
    <row r="964" spans="1:12" ht="18">
      <c r="A964" s="384"/>
      <c r="B964" s="17" t="s">
        <v>6</v>
      </c>
      <c r="C964" s="96">
        <f>E964/D964</f>
        <v>7.1111111111111111E-2</v>
      </c>
      <c r="D964" s="17">
        <v>225</v>
      </c>
      <c r="E964" s="54" t="s">
        <v>96</v>
      </c>
      <c r="F964" s="17" t="s">
        <v>1</v>
      </c>
      <c r="G964" s="18">
        <v>136500</v>
      </c>
      <c r="H964" s="19">
        <f>E964*G964</f>
        <v>2184000</v>
      </c>
    </row>
    <row r="965" spans="1:12" ht="18">
      <c r="A965" s="384"/>
      <c r="B965" s="17" t="s">
        <v>34</v>
      </c>
      <c r="C965" s="96">
        <f t="shared" ref="C965:C967" si="138">E965/D965</f>
        <v>3.1111111111111109E-3</v>
      </c>
      <c r="D965" s="17">
        <v>225</v>
      </c>
      <c r="E965" s="54" t="s">
        <v>35</v>
      </c>
      <c r="F965" s="17" t="s">
        <v>1</v>
      </c>
      <c r="G965" s="18">
        <v>306600</v>
      </c>
      <c r="H965" s="19">
        <f>E965*G965</f>
        <v>214620</v>
      </c>
    </row>
    <row r="966" spans="1:12" ht="18">
      <c r="A966" s="384"/>
      <c r="B966" s="17" t="s">
        <v>36</v>
      </c>
      <c r="C966" s="96">
        <f t="shared" si="138"/>
        <v>3.6888888888888895E-2</v>
      </c>
      <c r="D966" s="17">
        <v>225</v>
      </c>
      <c r="E966" s="54" t="s">
        <v>93</v>
      </c>
      <c r="F966" s="17" t="s">
        <v>1</v>
      </c>
      <c r="G966" s="18">
        <v>67200</v>
      </c>
      <c r="H966" s="19">
        <f>E966*G966</f>
        <v>557760</v>
      </c>
    </row>
    <row r="967" spans="1:12" ht="18">
      <c r="A967" s="384"/>
      <c r="B967" s="17" t="s">
        <v>38</v>
      </c>
      <c r="C967" s="17">
        <f t="shared" si="138"/>
        <v>2.6666666666666668E-2</v>
      </c>
      <c r="D967" s="17">
        <v>225</v>
      </c>
      <c r="E967" s="54" t="s">
        <v>47</v>
      </c>
      <c r="F967" s="35" t="s">
        <v>4</v>
      </c>
      <c r="G967" s="18">
        <v>23100</v>
      </c>
      <c r="H967" s="19">
        <f>E967*G967</f>
        <v>138600</v>
      </c>
      <c r="J967">
        <f>23100*6</f>
        <v>138600</v>
      </c>
    </row>
    <row r="968" spans="1:12" ht="18">
      <c r="A968" s="384"/>
      <c r="B968" s="35" t="s">
        <v>98</v>
      </c>
      <c r="C968" s="35"/>
      <c r="D968" s="35"/>
      <c r="E968" s="55" t="s">
        <v>46</v>
      </c>
      <c r="F968" s="35" t="s">
        <v>4</v>
      </c>
      <c r="G968" s="36">
        <v>49350</v>
      </c>
      <c r="H968" s="19">
        <f t="shared" ref="H968:H969" si="139">E968*G968</f>
        <v>4935</v>
      </c>
    </row>
    <row r="969" spans="1:12" ht="18">
      <c r="A969" s="384"/>
      <c r="B969" s="35" t="s">
        <v>97</v>
      </c>
      <c r="C969" s="20"/>
      <c r="D969" s="20"/>
      <c r="E969" s="56" t="s">
        <v>46</v>
      </c>
      <c r="F969" s="35" t="s">
        <v>4</v>
      </c>
      <c r="G969" s="20">
        <v>60900</v>
      </c>
      <c r="H969" s="19">
        <f t="shared" si="139"/>
        <v>6090</v>
      </c>
    </row>
    <row r="970" spans="1:12" ht="18">
      <c r="A970" s="385"/>
      <c r="B970" s="371"/>
      <c r="C970" s="372"/>
      <c r="D970" s="372"/>
      <c r="E970" s="372"/>
      <c r="F970" s="372"/>
      <c r="G970" s="373"/>
      <c r="H970" s="26">
        <f>SUM(H963:H969)</f>
        <v>3687180</v>
      </c>
      <c r="J970" t="e">
        <f>#REF!</f>
        <v>#REF!</v>
      </c>
      <c r="K970" t="e">
        <f>J970-136000</f>
        <v>#REF!</v>
      </c>
      <c r="L970" s="30" t="e">
        <f>H970-K970</f>
        <v>#REF!</v>
      </c>
    </row>
    <row r="971" spans="1:12" ht="18">
      <c r="A971" s="383">
        <v>3</v>
      </c>
      <c r="B971" s="12" t="s">
        <v>22</v>
      </c>
      <c r="C971" s="92">
        <f>E971/D971</f>
        <v>0.12</v>
      </c>
      <c r="D971" s="17">
        <v>225</v>
      </c>
      <c r="E971" s="53" t="s">
        <v>32</v>
      </c>
      <c r="F971" s="12" t="s">
        <v>1</v>
      </c>
      <c r="G971" s="13">
        <v>21525</v>
      </c>
      <c r="H971" s="14">
        <f>E971*G971</f>
        <v>581175</v>
      </c>
      <c r="I971" s="43" t="s">
        <v>2</v>
      </c>
    </row>
    <row r="972" spans="1:12" ht="18">
      <c r="A972" s="384"/>
      <c r="B972" s="17" t="s">
        <v>42</v>
      </c>
      <c r="C972" s="96">
        <f>E972/D972</f>
        <v>6.5333333333333327E-2</v>
      </c>
      <c r="D972" s="17">
        <v>225</v>
      </c>
      <c r="E972" s="54" t="s">
        <v>61</v>
      </c>
      <c r="F972" s="17" t="s">
        <v>1</v>
      </c>
      <c r="G972" s="18">
        <v>156600</v>
      </c>
      <c r="H972" s="19">
        <f>E972*G972</f>
        <v>2302020</v>
      </c>
    </row>
    <row r="973" spans="1:12" ht="18">
      <c r="A973" s="384"/>
      <c r="B973" s="17" t="s">
        <v>43</v>
      </c>
      <c r="C973" s="96">
        <f t="shared" ref="C973:C976" si="140">E973/D973</f>
        <v>0.57777777777777772</v>
      </c>
      <c r="D973" s="17">
        <v>225</v>
      </c>
      <c r="E973" s="57">
        <v>130</v>
      </c>
      <c r="F973" s="17" t="s">
        <v>3</v>
      </c>
      <c r="G973" s="18">
        <v>3456</v>
      </c>
      <c r="H973" s="19">
        <f>E973*G973</f>
        <v>449280</v>
      </c>
    </row>
    <row r="974" spans="1:12" ht="18">
      <c r="A974" s="384"/>
      <c r="B974" s="17" t="s">
        <v>44</v>
      </c>
      <c r="C974" s="96">
        <f t="shared" si="140"/>
        <v>8.8888888888888889E-3</v>
      </c>
      <c r="D974" s="17">
        <v>225</v>
      </c>
      <c r="E974" s="57">
        <v>2</v>
      </c>
      <c r="F974" s="17" t="s">
        <v>1</v>
      </c>
      <c r="G974" s="19">
        <v>29400</v>
      </c>
      <c r="H974" s="19">
        <f>E974*G974</f>
        <v>58800</v>
      </c>
    </row>
    <row r="975" spans="1:12" ht="18">
      <c r="A975" s="384"/>
      <c r="B975" s="17" t="s">
        <v>45</v>
      </c>
      <c r="C975" s="96">
        <f t="shared" si="140"/>
        <v>4.4444444444444444E-3</v>
      </c>
      <c r="D975" s="17">
        <v>225</v>
      </c>
      <c r="E975" s="57">
        <v>1</v>
      </c>
      <c r="F975" s="17" t="s">
        <v>1</v>
      </c>
      <c r="G975" s="19">
        <v>164850</v>
      </c>
      <c r="H975" s="19">
        <f t="shared" ref="H975:H977" si="141">E975*G975</f>
        <v>164850</v>
      </c>
    </row>
    <row r="976" spans="1:12" ht="18">
      <c r="A976" s="384"/>
      <c r="B976" s="17" t="s">
        <v>94</v>
      </c>
      <c r="C976" s="96">
        <f t="shared" si="140"/>
        <v>2.3555555555555555E-2</v>
      </c>
      <c r="D976" s="17">
        <v>225</v>
      </c>
      <c r="E976" s="59">
        <v>5.3</v>
      </c>
      <c r="F976" s="17" t="s">
        <v>1</v>
      </c>
      <c r="G976" s="18">
        <v>22050</v>
      </c>
      <c r="H976" s="19">
        <f t="shared" si="141"/>
        <v>116865</v>
      </c>
    </row>
    <row r="977" spans="1:12" ht="18">
      <c r="A977" s="384"/>
      <c r="B977" s="17" t="s">
        <v>12</v>
      </c>
      <c r="C977" s="17"/>
      <c r="D977" s="17">
        <v>225</v>
      </c>
      <c r="E977" s="54" t="s">
        <v>46</v>
      </c>
      <c r="F977" s="17" t="s">
        <v>1</v>
      </c>
      <c r="G977" s="18">
        <v>60900</v>
      </c>
      <c r="H977" s="19">
        <f t="shared" si="141"/>
        <v>6090</v>
      </c>
    </row>
    <row r="978" spans="1:12" ht="18">
      <c r="A978" s="384"/>
      <c r="B978" s="20" t="s">
        <v>58</v>
      </c>
      <c r="C978" s="20"/>
      <c r="D978" s="20">
        <v>225</v>
      </c>
      <c r="E978" s="56" t="s">
        <v>57</v>
      </c>
      <c r="F978" s="20" t="s">
        <v>1</v>
      </c>
      <c r="G978" s="32">
        <v>49350</v>
      </c>
      <c r="H978" s="22">
        <f>E978*G978</f>
        <v>9870</v>
      </c>
    </row>
    <row r="979" spans="1:12" ht="18">
      <c r="A979" s="385"/>
      <c r="B979" s="371"/>
      <c r="C979" s="372"/>
      <c r="D979" s="372"/>
      <c r="E979" s="372"/>
      <c r="F979" s="372"/>
      <c r="G979" s="373"/>
      <c r="H979" s="26">
        <f>SUM(H971:H978)</f>
        <v>3688950</v>
      </c>
      <c r="J979" t="e">
        <f>#REF!</f>
        <v>#REF!</v>
      </c>
      <c r="K979" t="e">
        <f>J979-136000</f>
        <v>#REF!</v>
      </c>
      <c r="L979" s="30" t="e">
        <f>H979-K979</f>
        <v>#REF!</v>
      </c>
    </row>
    <row r="980" spans="1:12" ht="18">
      <c r="A980" s="383">
        <v>4</v>
      </c>
      <c r="B980" s="12" t="s">
        <v>22</v>
      </c>
      <c r="C980" s="94">
        <f>E980/D980</f>
        <v>0.12</v>
      </c>
      <c r="D980" s="12">
        <v>225</v>
      </c>
      <c r="E980" s="53" t="s">
        <v>32</v>
      </c>
      <c r="F980" s="12" t="s">
        <v>1</v>
      </c>
      <c r="G980" s="13">
        <v>21525</v>
      </c>
      <c r="H980" s="14">
        <f>E980*G980</f>
        <v>581175</v>
      </c>
      <c r="I980" s="43" t="s">
        <v>2</v>
      </c>
    </row>
    <row r="981" spans="1:12" ht="18">
      <c r="A981" s="384"/>
      <c r="B981" s="17" t="s">
        <v>100</v>
      </c>
      <c r="C981" s="96">
        <f t="shared" ref="C981:C985" si="142">E981/D981</f>
        <v>7.5555555555555556E-2</v>
      </c>
      <c r="D981" s="17">
        <v>225</v>
      </c>
      <c r="E981" s="58">
        <v>17</v>
      </c>
      <c r="F981" s="17" t="s">
        <v>1</v>
      </c>
      <c r="G981" s="18">
        <v>123900</v>
      </c>
      <c r="H981" s="19">
        <f>E981*G981</f>
        <v>2106300</v>
      </c>
    </row>
    <row r="982" spans="1:12" ht="18">
      <c r="A982" s="384"/>
      <c r="B982" s="17" t="s">
        <v>36</v>
      </c>
      <c r="C982" s="96">
        <f t="shared" si="142"/>
        <v>2.5777777777777778E-2</v>
      </c>
      <c r="D982" s="17">
        <v>225</v>
      </c>
      <c r="E982" s="54" t="s">
        <v>89</v>
      </c>
      <c r="F982" s="17" t="s">
        <v>1</v>
      </c>
      <c r="G982" s="18">
        <v>67200</v>
      </c>
      <c r="H982" s="19">
        <f>E982*G982</f>
        <v>389760</v>
      </c>
    </row>
    <row r="983" spans="1:12" ht="18">
      <c r="A983" s="384"/>
      <c r="B983" s="17" t="s">
        <v>44</v>
      </c>
      <c r="C983" s="95">
        <f t="shared" si="142"/>
        <v>1.3333333333333334E-2</v>
      </c>
      <c r="D983" s="17">
        <v>225</v>
      </c>
      <c r="E983" s="54" t="s">
        <v>48</v>
      </c>
      <c r="F983" s="17" t="s">
        <v>1</v>
      </c>
      <c r="G983" s="18">
        <v>29400</v>
      </c>
      <c r="H983" s="19">
        <f>E983*G983</f>
        <v>88200</v>
      </c>
    </row>
    <row r="984" spans="1:12" ht="18">
      <c r="A984" s="384"/>
      <c r="B984" s="17" t="s">
        <v>78</v>
      </c>
      <c r="C984" s="48">
        <f t="shared" si="142"/>
        <v>1.3333333333333334E-2</v>
      </c>
      <c r="D984" s="17">
        <v>225</v>
      </c>
      <c r="E984" s="54" t="s">
        <v>48</v>
      </c>
      <c r="F984" s="17" t="s">
        <v>1</v>
      </c>
      <c r="G984" s="18">
        <v>78750</v>
      </c>
      <c r="H984" s="19">
        <f t="shared" ref="H984:H988" si="143">E984*G984</f>
        <v>236250</v>
      </c>
    </row>
    <row r="985" spans="1:12" ht="18">
      <c r="A985" s="384"/>
      <c r="B985" s="17" t="s">
        <v>79</v>
      </c>
      <c r="C985" s="48">
        <f t="shared" si="142"/>
        <v>5.7777777777777775E-2</v>
      </c>
      <c r="D985" s="17">
        <v>225</v>
      </c>
      <c r="E985" s="54" t="s">
        <v>80</v>
      </c>
      <c r="F985" s="17" t="s">
        <v>1</v>
      </c>
      <c r="G985" s="18">
        <v>20478</v>
      </c>
      <c r="H985" s="19">
        <f t="shared" si="143"/>
        <v>266214</v>
      </c>
    </row>
    <row r="986" spans="1:12" ht="18">
      <c r="A986" s="384"/>
      <c r="B986" s="17" t="s">
        <v>81</v>
      </c>
      <c r="C986" s="48"/>
      <c r="D986" s="17">
        <v>225</v>
      </c>
      <c r="E986" s="54" t="s">
        <v>46</v>
      </c>
      <c r="F986" s="17" t="s">
        <v>1</v>
      </c>
      <c r="G986" s="18">
        <v>68040</v>
      </c>
      <c r="H986" s="19">
        <f t="shared" si="143"/>
        <v>6804</v>
      </c>
    </row>
    <row r="987" spans="1:12" ht="18">
      <c r="A987" s="384"/>
      <c r="B987" s="17" t="s">
        <v>66</v>
      </c>
      <c r="C987" s="48"/>
      <c r="D987" s="17">
        <v>225</v>
      </c>
      <c r="E987" s="54" t="s">
        <v>46</v>
      </c>
      <c r="F987" s="17" t="s">
        <v>1</v>
      </c>
      <c r="G987" s="18">
        <v>60900</v>
      </c>
      <c r="H987" s="19">
        <f t="shared" si="143"/>
        <v>6090</v>
      </c>
    </row>
    <row r="988" spans="1:12" ht="18">
      <c r="A988" s="384"/>
      <c r="B988" s="17" t="s">
        <v>99</v>
      </c>
      <c r="C988" s="48"/>
      <c r="D988" s="17">
        <v>225</v>
      </c>
      <c r="E988" s="54" t="s">
        <v>57</v>
      </c>
      <c r="F988" s="17" t="s">
        <v>1</v>
      </c>
      <c r="G988" s="18">
        <v>49350</v>
      </c>
      <c r="H988" s="19">
        <f t="shared" si="143"/>
        <v>9870</v>
      </c>
    </row>
    <row r="989" spans="1:12" ht="18">
      <c r="A989" s="384"/>
      <c r="B989" s="17"/>
      <c r="C989" s="17"/>
      <c r="D989" s="17"/>
      <c r="E989" s="57"/>
      <c r="F989" s="27"/>
      <c r="G989" s="18"/>
      <c r="H989" s="28">
        <f>SUM(H980:H988)</f>
        <v>3690663</v>
      </c>
      <c r="J989" t="e">
        <f>#REF!</f>
        <v>#REF!</v>
      </c>
      <c r="K989" s="30" t="e">
        <f>J989-136000</f>
        <v>#REF!</v>
      </c>
      <c r="L989" s="30" t="e">
        <f>H989-K989</f>
        <v>#REF!</v>
      </c>
    </row>
    <row r="990" spans="1:12" ht="18">
      <c r="A990" s="383">
        <v>5</v>
      </c>
      <c r="B990" s="12" t="s">
        <v>22</v>
      </c>
      <c r="C990" s="12">
        <v>120</v>
      </c>
      <c r="D990" s="17">
        <v>225</v>
      </c>
      <c r="E990" s="53" t="s">
        <v>32</v>
      </c>
      <c r="F990" s="12" t="s">
        <v>1</v>
      </c>
      <c r="G990" s="13">
        <v>21525</v>
      </c>
      <c r="H990" s="14">
        <f>E990*G990</f>
        <v>581175</v>
      </c>
      <c r="I990" s="43" t="s">
        <v>2</v>
      </c>
    </row>
    <row r="991" spans="1:12" ht="18">
      <c r="A991" s="384"/>
      <c r="B991" s="38" t="s">
        <v>49</v>
      </c>
      <c r="C991" s="38">
        <v>37</v>
      </c>
      <c r="D991" s="17">
        <v>225</v>
      </c>
      <c r="E991" s="58">
        <v>8.3000000000000007</v>
      </c>
      <c r="F991" s="17" t="s">
        <v>1</v>
      </c>
      <c r="G991" s="18">
        <v>199500</v>
      </c>
      <c r="H991" s="19">
        <f>E991*G991</f>
        <v>1655850.0000000002</v>
      </c>
    </row>
    <row r="992" spans="1:12" ht="18">
      <c r="A992" s="384"/>
      <c r="B992" s="17" t="s">
        <v>100</v>
      </c>
      <c r="C992" s="17">
        <v>22</v>
      </c>
      <c r="D992" s="17">
        <v>225</v>
      </c>
      <c r="E992" s="58">
        <v>5.5</v>
      </c>
      <c r="F992" s="17" t="s">
        <v>1</v>
      </c>
      <c r="G992" s="18">
        <v>123900</v>
      </c>
      <c r="H992" s="19">
        <f t="shared" ref="H992:H999" si="144">E992*G992</f>
        <v>681450</v>
      </c>
    </row>
    <row r="993" spans="1:12" ht="18">
      <c r="A993" s="384"/>
      <c r="B993" s="17" t="s">
        <v>6</v>
      </c>
      <c r="C993" s="17"/>
      <c r="D993" s="17">
        <v>225</v>
      </c>
      <c r="E993" s="58">
        <v>1</v>
      </c>
      <c r="F993" s="17" t="s">
        <v>1</v>
      </c>
      <c r="G993" s="18">
        <v>136500</v>
      </c>
      <c r="H993" s="19">
        <f t="shared" si="144"/>
        <v>136500</v>
      </c>
    </row>
    <row r="994" spans="1:12" ht="18">
      <c r="A994" s="384"/>
      <c r="B994" s="17" t="s">
        <v>9</v>
      </c>
      <c r="C994" s="17"/>
      <c r="D994" s="17">
        <v>225</v>
      </c>
      <c r="E994" s="57">
        <v>1</v>
      </c>
      <c r="F994" s="17" t="s">
        <v>1</v>
      </c>
      <c r="G994" s="18">
        <v>36720</v>
      </c>
      <c r="H994" s="19">
        <f t="shared" si="144"/>
        <v>36720</v>
      </c>
    </row>
    <row r="995" spans="1:12" ht="18">
      <c r="A995" s="384"/>
      <c r="B995" s="17" t="s">
        <v>50</v>
      </c>
      <c r="C995" s="17">
        <v>0.68</v>
      </c>
      <c r="D995" s="17">
        <v>225</v>
      </c>
      <c r="E995" s="59">
        <v>1.5</v>
      </c>
      <c r="F995" s="17" t="s">
        <v>1</v>
      </c>
      <c r="G995" s="18">
        <v>36750</v>
      </c>
      <c r="H995" s="19">
        <f t="shared" si="144"/>
        <v>55125</v>
      </c>
    </row>
    <row r="996" spans="1:12" ht="18">
      <c r="A996" s="384"/>
      <c r="B996" s="17" t="s">
        <v>31</v>
      </c>
      <c r="C996" s="17">
        <v>37</v>
      </c>
      <c r="D996" s="17">
        <v>225</v>
      </c>
      <c r="E996" s="57">
        <v>8</v>
      </c>
      <c r="F996" s="17" t="s">
        <v>1</v>
      </c>
      <c r="G996" s="18">
        <v>47250</v>
      </c>
      <c r="H996" s="19">
        <f t="shared" si="144"/>
        <v>378000</v>
      </c>
    </row>
    <row r="997" spans="1:12" ht="18">
      <c r="A997" s="384"/>
      <c r="B997" s="17" t="s">
        <v>12</v>
      </c>
      <c r="C997" s="17"/>
      <c r="D997" s="17"/>
      <c r="E997" s="59">
        <v>0.1</v>
      </c>
      <c r="F997" s="17" t="s">
        <v>1</v>
      </c>
      <c r="G997" s="18">
        <v>60900</v>
      </c>
      <c r="H997" s="19">
        <f t="shared" si="144"/>
        <v>6090</v>
      </c>
    </row>
    <row r="998" spans="1:12" ht="18">
      <c r="A998" s="384"/>
      <c r="B998" s="17" t="s">
        <v>51</v>
      </c>
      <c r="C998" s="17"/>
      <c r="D998" s="17"/>
      <c r="E998" s="59">
        <v>0.1</v>
      </c>
      <c r="F998" s="17" t="s">
        <v>1</v>
      </c>
      <c r="G998" s="36">
        <v>49350</v>
      </c>
      <c r="H998" s="19">
        <f t="shared" si="144"/>
        <v>4935</v>
      </c>
    </row>
    <row r="999" spans="1:12" ht="18">
      <c r="A999" s="384"/>
      <c r="B999" s="17" t="s">
        <v>101</v>
      </c>
      <c r="C999" s="17"/>
      <c r="D999" s="17">
        <v>225</v>
      </c>
      <c r="E999" s="199">
        <v>8</v>
      </c>
      <c r="F999" s="68" t="s">
        <v>1</v>
      </c>
      <c r="G999" s="73">
        <v>18900</v>
      </c>
      <c r="H999" s="74">
        <f t="shared" si="144"/>
        <v>151200</v>
      </c>
    </row>
    <row r="1000" spans="1:12" ht="18">
      <c r="A1000" s="385"/>
      <c r="B1000" s="20"/>
      <c r="C1000" s="20"/>
      <c r="D1000" s="20"/>
      <c r="E1000" s="56"/>
      <c r="F1000" s="21"/>
      <c r="G1000" s="20"/>
      <c r="H1000" s="22"/>
    </row>
    <row r="1001" spans="1:12" ht="18">
      <c r="A1001" s="29"/>
      <c r="B1001" s="23"/>
      <c r="C1001" s="24"/>
      <c r="D1001" s="24"/>
      <c r="E1001" s="47"/>
      <c r="F1001" s="24"/>
      <c r="G1001" s="25"/>
      <c r="H1001" s="26">
        <f>SUM(H990:H1000)</f>
        <v>3687045</v>
      </c>
      <c r="J1001" t="e">
        <f>#REF!</f>
        <v>#REF!</v>
      </c>
      <c r="K1001" t="e">
        <f>J1001-136000</f>
        <v>#REF!</v>
      </c>
      <c r="L1001" s="30" t="e">
        <f>H1001-K1001</f>
        <v>#REF!</v>
      </c>
    </row>
    <row r="1002" spans="1:12" ht="18">
      <c r="A1002" s="383">
        <v>6</v>
      </c>
      <c r="B1002" s="12" t="s">
        <v>22</v>
      </c>
      <c r="C1002" s="64">
        <f>E1002/D1002</f>
        <v>0.12</v>
      </c>
      <c r="D1002" s="17">
        <v>225</v>
      </c>
      <c r="E1002" s="53" t="s">
        <v>32</v>
      </c>
      <c r="F1002" s="12" t="s">
        <v>1</v>
      </c>
      <c r="G1002" s="13">
        <v>21525</v>
      </c>
      <c r="H1002" s="39">
        <f>E1002*G1002</f>
        <v>581175</v>
      </c>
      <c r="I1002" s="43" t="s">
        <v>2</v>
      </c>
    </row>
    <row r="1003" spans="1:12" ht="18">
      <c r="A1003" s="384"/>
      <c r="B1003" s="15" t="s">
        <v>52</v>
      </c>
      <c r="C1003" s="48">
        <f t="shared" ref="C1003:C1008" si="145">E1003/D1003</f>
        <v>5.1555555555555556E-2</v>
      </c>
      <c r="D1003" s="17">
        <v>225</v>
      </c>
      <c r="E1003" s="60" t="s">
        <v>62</v>
      </c>
      <c r="F1003" s="17" t="s">
        <v>1</v>
      </c>
      <c r="G1003" s="40">
        <v>167400</v>
      </c>
      <c r="H1003" s="19">
        <f>E1003*G1003</f>
        <v>1941840</v>
      </c>
    </row>
    <row r="1004" spans="1:12" ht="18">
      <c r="A1004" s="384"/>
      <c r="B1004" s="15" t="s">
        <v>53</v>
      </c>
      <c r="C1004" s="66">
        <f t="shared" si="145"/>
        <v>4.4888888888888888E-2</v>
      </c>
      <c r="D1004" s="17">
        <v>225</v>
      </c>
      <c r="E1004" s="60" t="s">
        <v>54</v>
      </c>
      <c r="F1004" s="17" t="s">
        <v>1</v>
      </c>
      <c r="G1004" s="40">
        <v>82950</v>
      </c>
      <c r="H1004" s="19">
        <f t="shared" ref="H1004:H1008" si="146">E1004*G1004</f>
        <v>837795</v>
      </c>
    </row>
    <row r="1005" spans="1:12" ht="18">
      <c r="A1005" s="384"/>
      <c r="B1005" s="15" t="s">
        <v>6</v>
      </c>
      <c r="C1005" s="66">
        <f t="shared" si="145"/>
        <v>4.4444444444444444E-3</v>
      </c>
      <c r="D1005" s="17">
        <v>225</v>
      </c>
      <c r="E1005" s="58">
        <v>1</v>
      </c>
      <c r="F1005" s="17" t="s">
        <v>1</v>
      </c>
      <c r="G1005" s="18">
        <v>136500</v>
      </c>
      <c r="H1005" s="19">
        <f t="shared" si="146"/>
        <v>136500</v>
      </c>
    </row>
    <row r="1006" spans="1:12" ht="18">
      <c r="A1006" s="384"/>
      <c r="B1006" s="17" t="s">
        <v>55</v>
      </c>
      <c r="C1006" s="66">
        <f t="shared" si="145"/>
        <v>4.4444444444444447E-4</v>
      </c>
      <c r="D1006" s="17">
        <v>225</v>
      </c>
      <c r="E1006" s="59">
        <v>0.1</v>
      </c>
      <c r="F1006" s="17" t="s">
        <v>1</v>
      </c>
      <c r="G1006" s="18">
        <v>49350</v>
      </c>
      <c r="H1006" s="16">
        <f t="shared" si="146"/>
        <v>4935</v>
      </c>
    </row>
    <row r="1007" spans="1:12" ht="18">
      <c r="A1007" s="384"/>
      <c r="B1007" s="15" t="s">
        <v>12</v>
      </c>
      <c r="C1007" s="66">
        <f t="shared" si="145"/>
        <v>4.4444444444444447E-4</v>
      </c>
      <c r="D1007" s="17">
        <v>225</v>
      </c>
      <c r="E1007" s="59">
        <v>0.1</v>
      </c>
      <c r="F1007" s="17" t="s">
        <v>1</v>
      </c>
      <c r="G1007" s="18">
        <v>60900</v>
      </c>
      <c r="H1007" s="16">
        <f t="shared" si="146"/>
        <v>6090</v>
      </c>
    </row>
    <row r="1008" spans="1:12" ht="18">
      <c r="A1008" s="384"/>
      <c r="B1008" s="15" t="s">
        <v>102</v>
      </c>
      <c r="C1008" s="66">
        <f t="shared" si="145"/>
        <v>3.5555555555555556E-2</v>
      </c>
      <c r="D1008" s="17">
        <v>225</v>
      </c>
      <c r="E1008" s="76">
        <v>8</v>
      </c>
      <c r="F1008" s="17" t="s">
        <v>1</v>
      </c>
      <c r="G1008" s="73">
        <v>23100</v>
      </c>
      <c r="H1008" s="19">
        <f t="shared" si="146"/>
        <v>184800</v>
      </c>
      <c r="I1008" s="19"/>
      <c r="K1008">
        <f>184800</f>
        <v>184800</v>
      </c>
      <c r="L1008" s="30">
        <f>K1008-H1008</f>
        <v>0</v>
      </c>
    </row>
    <row r="1009" spans="1:12" ht="18">
      <c r="A1009" s="2"/>
      <c r="B1009" s="2"/>
      <c r="C1009" s="2"/>
      <c r="D1009" s="2"/>
      <c r="E1009" s="61"/>
      <c r="F1009" s="5"/>
      <c r="G1009" s="2"/>
      <c r="H1009" s="26">
        <f>SUM(H1002:H1008)</f>
        <v>3693135</v>
      </c>
      <c r="J1009" t="e">
        <f>#REF!</f>
        <v>#REF!</v>
      </c>
      <c r="K1009" t="e">
        <f>J1009-136000</f>
        <v>#REF!</v>
      </c>
      <c r="L1009" s="30" t="e">
        <f>H1009-K1009</f>
        <v>#REF!</v>
      </c>
    </row>
    <row r="1010" spans="1:12" ht="18">
      <c r="A1010" s="386" t="s">
        <v>28</v>
      </c>
      <c r="B1010" s="386"/>
      <c r="C1010" s="386" t="s">
        <v>29</v>
      </c>
      <c r="D1010" s="386"/>
      <c r="E1010" s="386"/>
      <c r="F1010" s="1"/>
      <c r="G1010" s="347" t="s">
        <v>59</v>
      </c>
      <c r="H1010" s="347"/>
    </row>
    <row r="1030" spans="1:11" ht="15.6">
      <c r="A1030" s="6" t="s">
        <v>0</v>
      </c>
      <c r="B1030" s="6"/>
    </row>
    <row r="1031" spans="1:11" ht="26.4" customHeight="1">
      <c r="A1031" s="375" t="s">
        <v>56</v>
      </c>
      <c r="B1031" s="375"/>
      <c r="C1031" s="375"/>
      <c r="D1031" s="375"/>
      <c r="E1031" s="375"/>
      <c r="F1031" s="375"/>
      <c r="G1031" s="375"/>
      <c r="H1031" s="375"/>
    </row>
    <row r="1032" spans="1:11" ht="26.4" customHeight="1">
      <c r="A1032" s="87"/>
      <c r="B1032" s="376" t="s">
        <v>86</v>
      </c>
      <c r="C1032" s="376"/>
      <c r="D1032" s="376"/>
      <c r="E1032" s="376"/>
      <c r="F1032" s="376"/>
      <c r="G1032" s="376"/>
      <c r="H1032" s="376"/>
    </row>
    <row r="1033" spans="1:11" ht="40.200000000000003">
      <c r="A1033" s="7" t="s">
        <v>15</v>
      </c>
      <c r="B1033" s="8" t="s">
        <v>16</v>
      </c>
      <c r="C1033" s="9" t="s">
        <v>17</v>
      </c>
      <c r="D1033" s="10" t="s">
        <v>18</v>
      </c>
      <c r="E1033" s="7" t="s">
        <v>19</v>
      </c>
      <c r="F1033" s="11" t="s">
        <v>5</v>
      </c>
      <c r="G1033" s="7" t="s">
        <v>20</v>
      </c>
      <c r="H1033" s="7" t="s">
        <v>21</v>
      </c>
    </row>
    <row r="1034" spans="1:11" ht="18">
      <c r="A1034" s="383">
        <v>2</v>
      </c>
      <c r="B1034" s="2" t="s">
        <v>22</v>
      </c>
      <c r="C1034" s="50">
        <v>120</v>
      </c>
      <c r="D1034" s="2">
        <v>227</v>
      </c>
      <c r="E1034" s="194" t="s">
        <v>65</v>
      </c>
      <c r="F1034" s="2" t="s">
        <v>1</v>
      </c>
      <c r="G1034" s="4">
        <v>21525</v>
      </c>
      <c r="H1034" s="5">
        <f t="shared" ref="H1034:H1041" si="147">E1034*G1034</f>
        <v>585480</v>
      </c>
      <c r="I1034" s="43" t="s">
        <v>2</v>
      </c>
    </row>
    <row r="1035" spans="1:11" ht="18">
      <c r="A1035" s="384"/>
      <c r="B1035" s="88" t="s">
        <v>63</v>
      </c>
      <c r="C1035" s="41">
        <v>63</v>
      </c>
      <c r="D1035" s="15">
        <v>227</v>
      </c>
      <c r="E1035" s="196" t="s">
        <v>73</v>
      </c>
      <c r="F1035" s="15" t="s">
        <v>1</v>
      </c>
      <c r="G1035" s="83">
        <v>156600</v>
      </c>
      <c r="H1035" s="16">
        <f t="shared" si="147"/>
        <v>1800900</v>
      </c>
    </row>
    <row r="1036" spans="1:11" ht="18">
      <c r="A1036" s="384"/>
      <c r="B1036" s="85" t="s">
        <v>64</v>
      </c>
      <c r="C1036" s="42">
        <v>0.3</v>
      </c>
      <c r="D1036" s="17">
        <v>227</v>
      </c>
      <c r="E1036" s="191" t="s">
        <v>69</v>
      </c>
      <c r="F1036" s="17" t="s">
        <v>1</v>
      </c>
      <c r="G1036" s="73">
        <v>21000</v>
      </c>
      <c r="H1036" s="19">
        <f t="shared" si="147"/>
        <v>294000</v>
      </c>
    </row>
    <row r="1037" spans="1:11" ht="18">
      <c r="A1037" s="384"/>
      <c r="B1037" s="84" t="s">
        <v>87</v>
      </c>
      <c r="C1037" s="42">
        <v>37</v>
      </c>
      <c r="D1037" s="17">
        <v>227</v>
      </c>
      <c r="E1037" s="191" t="s">
        <v>74</v>
      </c>
      <c r="F1037" s="17" t="s">
        <v>1</v>
      </c>
      <c r="G1037" s="73">
        <v>125580</v>
      </c>
      <c r="H1037" s="19">
        <f t="shared" si="147"/>
        <v>778596</v>
      </c>
    </row>
    <row r="1038" spans="1:11" ht="18">
      <c r="A1038" s="384"/>
      <c r="B1038" s="84" t="s">
        <v>6</v>
      </c>
      <c r="C1038" s="42"/>
      <c r="D1038" s="17">
        <v>227</v>
      </c>
      <c r="E1038" s="191" t="s">
        <v>26</v>
      </c>
      <c r="F1038" s="17" t="s">
        <v>1</v>
      </c>
      <c r="G1038" s="18">
        <v>136500</v>
      </c>
      <c r="H1038" s="19">
        <f t="shared" si="147"/>
        <v>136500</v>
      </c>
    </row>
    <row r="1039" spans="1:11" ht="18">
      <c r="A1039" s="384"/>
      <c r="B1039" s="84" t="s">
        <v>75</v>
      </c>
      <c r="C1039" s="48"/>
      <c r="D1039" s="17">
        <v>227</v>
      </c>
      <c r="E1039" s="54" t="s">
        <v>46</v>
      </c>
      <c r="F1039" s="17" t="s">
        <v>1</v>
      </c>
      <c r="G1039" s="18">
        <v>49350</v>
      </c>
      <c r="H1039" s="19">
        <f t="shared" si="147"/>
        <v>4935</v>
      </c>
      <c r="J1039" t="e">
        <f>#REF!</f>
        <v>#REF!</v>
      </c>
      <c r="K1039" s="37" t="e">
        <f>J1039-136000</f>
        <v>#REF!</v>
      </c>
    </row>
    <row r="1040" spans="1:11" ht="18">
      <c r="A1040" s="384"/>
      <c r="B1040" s="84" t="s">
        <v>76</v>
      </c>
      <c r="C1040" s="66"/>
      <c r="D1040" s="17"/>
      <c r="E1040" s="55" t="s">
        <v>46</v>
      </c>
      <c r="F1040" s="17" t="s">
        <v>1</v>
      </c>
      <c r="G1040" s="36">
        <v>60900</v>
      </c>
      <c r="H1040" s="19">
        <f t="shared" si="147"/>
        <v>6090</v>
      </c>
      <c r="K1040" s="37" t="e">
        <f>K1039-H1042</f>
        <v>#REF!</v>
      </c>
    </row>
    <row r="1041" spans="1:12" ht="18">
      <c r="A1041" s="384"/>
      <c r="B1041" s="84" t="s">
        <v>72</v>
      </c>
      <c r="C1041" s="49"/>
      <c r="D1041" s="17">
        <v>227</v>
      </c>
      <c r="E1041" s="55" t="s">
        <v>68</v>
      </c>
      <c r="F1041" s="17" t="s">
        <v>1</v>
      </c>
      <c r="G1041" s="36">
        <v>22050</v>
      </c>
      <c r="H1041" s="19">
        <f t="shared" si="147"/>
        <v>110250</v>
      </c>
      <c r="J1041" s="30"/>
      <c r="K1041" s="51"/>
    </row>
    <row r="1042" spans="1:12" ht="18">
      <c r="A1042" s="385"/>
      <c r="B1042" s="371"/>
      <c r="C1042" s="372"/>
      <c r="D1042" s="372"/>
      <c r="E1042" s="372"/>
      <c r="F1042" s="372"/>
      <c r="G1042" s="373"/>
      <c r="H1042" s="26">
        <f>SUM(H1034:H1041)</f>
        <v>3716751</v>
      </c>
      <c r="J1042" t="s">
        <v>71</v>
      </c>
      <c r="K1042">
        <v>22050</v>
      </c>
      <c r="L1042" s="37">
        <f>K1042*5</f>
        <v>110250</v>
      </c>
    </row>
    <row r="1043" spans="1:12" ht="18">
      <c r="A1043" s="383">
        <v>3</v>
      </c>
      <c r="B1043" s="12" t="s">
        <v>22</v>
      </c>
      <c r="C1043" s="62">
        <f>E1043/D1043</f>
        <v>0.11938325991189427</v>
      </c>
      <c r="D1043" s="12">
        <v>227</v>
      </c>
      <c r="E1043" s="53" t="s">
        <v>60</v>
      </c>
      <c r="F1043" s="12" t="s">
        <v>1</v>
      </c>
      <c r="G1043" s="13">
        <v>21525</v>
      </c>
      <c r="H1043" s="14">
        <f>E1043*G1043</f>
        <v>583327.5</v>
      </c>
      <c r="I1043" s="43" t="s">
        <v>2</v>
      </c>
      <c r="J1043" t="s">
        <v>39</v>
      </c>
      <c r="K1043" t="s">
        <v>40</v>
      </c>
      <c r="L1043" s="37">
        <f>136500*1</f>
        <v>136500</v>
      </c>
    </row>
    <row r="1044" spans="1:12" ht="18">
      <c r="A1044" s="384"/>
      <c r="B1044" s="17" t="s">
        <v>6</v>
      </c>
      <c r="C1044" s="48">
        <f>E1044/D1044</f>
        <v>6.5198237885462557E-2</v>
      </c>
      <c r="D1044" s="17">
        <v>227</v>
      </c>
      <c r="E1044" s="54" t="s">
        <v>90</v>
      </c>
      <c r="F1044" s="17" t="s">
        <v>1</v>
      </c>
      <c r="G1044" s="18">
        <v>136500</v>
      </c>
      <c r="H1044" s="19">
        <f>E1044*G1044</f>
        <v>2020200</v>
      </c>
      <c r="J1044" t="s">
        <v>70</v>
      </c>
      <c r="K1044">
        <v>39900</v>
      </c>
      <c r="L1044" s="37">
        <f>K1044*3</f>
        <v>119700</v>
      </c>
    </row>
    <row r="1045" spans="1:12" ht="18">
      <c r="A1045" s="384"/>
      <c r="B1045" s="17" t="s">
        <v>34</v>
      </c>
      <c r="C1045" s="48">
        <f t="shared" ref="C1045:C1047" si="148">E1045/D1045</f>
        <v>3.083700440528634E-3</v>
      </c>
      <c r="D1045" s="17">
        <v>227</v>
      </c>
      <c r="E1045" s="54" t="s">
        <v>35</v>
      </c>
      <c r="F1045" s="17" t="s">
        <v>1</v>
      </c>
      <c r="G1045" s="18">
        <v>306600</v>
      </c>
      <c r="H1045" s="19">
        <f t="shared" ref="H1045:H1050" si="149">E1045*G1045</f>
        <v>214620</v>
      </c>
      <c r="J1045" t="s">
        <v>66</v>
      </c>
      <c r="K1045">
        <v>60900</v>
      </c>
      <c r="L1045" s="37">
        <f>K1045*0.1</f>
        <v>6090</v>
      </c>
    </row>
    <row r="1046" spans="1:12" ht="18">
      <c r="A1046" s="384"/>
      <c r="B1046" s="17" t="s">
        <v>36</v>
      </c>
      <c r="C1046" s="48">
        <f t="shared" si="148"/>
        <v>3.612334801762114E-2</v>
      </c>
      <c r="D1046" s="17">
        <v>227</v>
      </c>
      <c r="E1046" s="54" t="s">
        <v>37</v>
      </c>
      <c r="F1046" s="17" t="s">
        <v>1</v>
      </c>
      <c r="G1046" s="18">
        <v>67200</v>
      </c>
      <c r="H1046" s="19">
        <f t="shared" si="149"/>
        <v>551040</v>
      </c>
      <c r="J1046" t="s">
        <v>67</v>
      </c>
      <c r="K1046">
        <v>49350</v>
      </c>
      <c r="L1046" s="51">
        <f>K1046*0.1</f>
        <v>4935</v>
      </c>
    </row>
    <row r="1047" spans="1:12" ht="18">
      <c r="A1047" s="384"/>
      <c r="B1047" s="17" t="s">
        <v>6</v>
      </c>
      <c r="C1047" s="48">
        <f t="shared" si="148"/>
        <v>4.4052863436123352E-3</v>
      </c>
      <c r="D1047" s="17">
        <v>227</v>
      </c>
      <c r="E1047" s="57">
        <v>1</v>
      </c>
      <c r="F1047" s="17" t="s">
        <v>1</v>
      </c>
      <c r="G1047" s="19">
        <v>136500</v>
      </c>
      <c r="H1047" s="19">
        <f t="shared" si="149"/>
        <v>136500</v>
      </c>
    </row>
    <row r="1048" spans="1:12" ht="18">
      <c r="A1048" s="384"/>
      <c r="B1048" s="17" t="s">
        <v>77</v>
      </c>
      <c r="C1048" s="42"/>
      <c r="D1048" s="17">
        <v>227</v>
      </c>
      <c r="E1048" s="57">
        <v>8</v>
      </c>
      <c r="F1048" s="17" t="s">
        <v>1</v>
      </c>
      <c r="G1048" s="18">
        <v>23100</v>
      </c>
      <c r="H1048" s="19">
        <f t="shared" si="149"/>
        <v>184800</v>
      </c>
      <c r="J1048" s="30">
        <f>H1047+H1048</f>
        <v>321300</v>
      </c>
    </row>
    <row r="1049" spans="1:12" ht="18">
      <c r="A1049" s="384"/>
      <c r="B1049" s="17" t="s">
        <v>12</v>
      </c>
      <c r="C1049" s="42"/>
      <c r="D1049" s="17"/>
      <c r="E1049" s="54" t="s">
        <v>46</v>
      </c>
      <c r="F1049" s="17" t="s">
        <v>1</v>
      </c>
      <c r="G1049" s="18">
        <v>60900</v>
      </c>
      <c r="H1049" s="19">
        <f t="shared" si="149"/>
        <v>6090</v>
      </c>
    </row>
    <row r="1050" spans="1:12" ht="18">
      <c r="A1050" s="384"/>
      <c r="B1050" s="20" t="s">
        <v>41</v>
      </c>
      <c r="C1050" s="49"/>
      <c r="D1050" s="17"/>
      <c r="E1050" s="55" t="s">
        <v>46</v>
      </c>
      <c r="F1050" s="17" t="s">
        <v>1</v>
      </c>
      <c r="G1050" s="36">
        <v>49350</v>
      </c>
      <c r="H1050" s="19">
        <f t="shared" si="149"/>
        <v>4935</v>
      </c>
      <c r="J1050" t="e">
        <f>#REF!</f>
        <v>#REF!</v>
      </c>
      <c r="K1050" s="30" t="e">
        <f>J1050-136000</f>
        <v>#REF!</v>
      </c>
    </row>
    <row r="1051" spans="1:12" ht="18">
      <c r="A1051" s="385"/>
      <c r="B1051" s="371"/>
      <c r="C1051" s="372"/>
      <c r="D1051" s="372"/>
      <c r="E1051" s="372"/>
      <c r="F1051" s="372"/>
      <c r="G1051" s="373"/>
      <c r="H1051" s="26">
        <f>SUM(H1043:H1050)</f>
        <v>3701512.5</v>
      </c>
      <c r="J1051" s="30" t="e">
        <f>K1050-H1051</f>
        <v>#REF!</v>
      </c>
      <c r="K1051" s="30">
        <f>H1049+H1050</f>
        <v>11025</v>
      </c>
    </row>
    <row r="1052" spans="1:12" ht="18">
      <c r="A1052" s="383">
        <v>4</v>
      </c>
      <c r="B1052" s="12" t="s">
        <v>22</v>
      </c>
      <c r="C1052" s="62">
        <f>E1052/D1052</f>
        <v>0.11894273127753303</v>
      </c>
      <c r="D1052" s="12">
        <v>227</v>
      </c>
      <c r="E1052" s="53" t="s">
        <v>32</v>
      </c>
      <c r="F1052" s="12" t="s">
        <v>1</v>
      </c>
      <c r="G1052" s="13">
        <v>21525</v>
      </c>
      <c r="H1052" s="14">
        <f>E1052*G1052</f>
        <v>581175</v>
      </c>
      <c r="I1052" s="43" t="s">
        <v>2</v>
      </c>
      <c r="K1052" s="37"/>
    </row>
    <row r="1053" spans="1:12" ht="18">
      <c r="A1053" s="384"/>
      <c r="B1053" s="17" t="s">
        <v>87</v>
      </c>
      <c r="C1053" s="48">
        <f>E1053/D1053</f>
        <v>7.4889867841409691E-2</v>
      </c>
      <c r="D1053" s="17">
        <v>227</v>
      </c>
      <c r="E1053" s="58">
        <v>17</v>
      </c>
      <c r="F1053" s="17" t="s">
        <v>1</v>
      </c>
      <c r="G1053" s="18">
        <v>123900</v>
      </c>
      <c r="H1053" s="19">
        <f>E1053*G1053</f>
        <v>2106300</v>
      </c>
    </row>
    <row r="1054" spans="1:12" ht="18">
      <c r="A1054" s="384"/>
      <c r="B1054" s="17" t="s">
        <v>36</v>
      </c>
      <c r="C1054" s="48">
        <f t="shared" ref="C1054:C1057" si="150">E1054/D1054</f>
        <v>2.5550660792951541E-2</v>
      </c>
      <c r="D1054" s="17">
        <v>227</v>
      </c>
      <c r="E1054" s="54" t="s">
        <v>89</v>
      </c>
      <c r="F1054" s="17" t="s">
        <v>1</v>
      </c>
      <c r="G1054" s="18">
        <v>67200</v>
      </c>
      <c r="H1054" s="19">
        <f>E1054*G1054</f>
        <v>389760</v>
      </c>
    </row>
    <row r="1055" spans="1:12" ht="18">
      <c r="A1055" s="384"/>
      <c r="B1055" s="17" t="s">
        <v>44</v>
      </c>
      <c r="C1055" s="48">
        <f t="shared" si="150"/>
        <v>1.3215859030837005E-2</v>
      </c>
      <c r="D1055" s="17">
        <v>227</v>
      </c>
      <c r="E1055" s="54" t="s">
        <v>48</v>
      </c>
      <c r="F1055" s="17" t="s">
        <v>1</v>
      </c>
      <c r="G1055" s="18">
        <v>29400</v>
      </c>
      <c r="H1055" s="19">
        <f>E1055*G1055</f>
        <v>88200</v>
      </c>
    </row>
    <row r="1056" spans="1:12" ht="18">
      <c r="A1056" s="384"/>
      <c r="B1056" s="17" t="s">
        <v>78</v>
      </c>
      <c r="C1056" s="48">
        <f t="shared" si="150"/>
        <v>1.3215859030837005E-2</v>
      </c>
      <c r="D1056" s="17">
        <v>227</v>
      </c>
      <c r="E1056" s="54" t="s">
        <v>48</v>
      </c>
      <c r="F1056" s="17" t="s">
        <v>1</v>
      </c>
      <c r="G1056" s="18">
        <v>78750</v>
      </c>
      <c r="H1056" s="19">
        <f t="shared" ref="H1056:H1060" si="151">E1056*G1056</f>
        <v>236250</v>
      </c>
    </row>
    <row r="1057" spans="1:11" ht="18">
      <c r="A1057" s="384"/>
      <c r="B1057" s="17" t="s">
        <v>79</v>
      </c>
      <c r="C1057" s="48">
        <f t="shared" si="150"/>
        <v>5.7268722466960353E-2</v>
      </c>
      <c r="D1057" s="17">
        <v>227</v>
      </c>
      <c r="E1057" s="54" t="s">
        <v>80</v>
      </c>
      <c r="F1057" s="17" t="s">
        <v>1</v>
      </c>
      <c r="G1057" s="18">
        <v>20478</v>
      </c>
      <c r="H1057" s="19">
        <f t="shared" si="151"/>
        <v>266214</v>
      </c>
      <c r="J1057" s="30">
        <f>H1057+H1058+H1059</f>
        <v>279108</v>
      </c>
    </row>
    <row r="1058" spans="1:11" ht="18">
      <c r="A1058" s="384"/>
      <c r="B1058" s="17" t="s">
        <v>81</v>
      </c>
      <c r="C1058" s="48"/>
      <c r="D1058" s="17">
        <v>227</v>
      </c>
      <c r="E1058" s="54" t="s">
        <v>46</v>
      </c>
      <c r="F1058" s="17" t="s">
        <v>1</v>
      </c>
      <c r="G1058" s="18">
        <v>68040</v>
      </c>
      <c r="H1058" s="19">
        <f t="shared" si="151"/>
        <v>6804</v>
      </c>
      <c r="I1058" s="30">
        <f>H1057+H1056</f>
        <v>502464</v>
      </c>
      <c r="J1058" s="30">
        <f>H1058+H1059+H1060</f>
        <v>17829</v>
      </c>
    </row>
    <row r="1059" spans="1:11" ht="18">
      <c r="A1059" s="384"/>
      <c r="B1059" s="17" t="s">
        <v>66</v>
      </c>
      <c r="C1059" s="48"/>
      <c r="D1059" s="17">
        <v>227</v>
      </c>
      <c r="E1059" s="54" t="s">
        <v>46</v>
      </c>
      <c r="F1059" s="17" t="s">
        <v>1</v>
      </c>
      <c r="G1059" s="18">
        <v>60900</v>
      </c>
      <c r="H1059" s="19">
        <f t="shared" si="151"/>
        <v>6090</v>
      </c>
    </row>
    <row r="1060" spans="1:11" ht="18">
      <c r="A1060" s="384"/>
      <c r="B1060" s="17" t="s">
        <v>82</v>
      </c>
      <c r="C1060" s="48"/>
      <c r="D1060" s="17">
        <v>227</v>
      </c>
      <c r="E1060" s="54" t="s">
        <v>46</v>
      </c>
      <c r="F1060" s="17" t="s">
        <v>1</v>
      </c>
      <c r="G1060" s="18">
        <v>49350</v>
      </c>
      <c r="H1060" s="19">
        <f t="shared" si="151"/>
        <v>4935</v>
      </c>
    </row>
    <row r="1061" spans="1:11" ht="18">
      <c r="A1061" s="384"/>
      <c r="B1061" s="17"/>
      <c r="C1061" s="42"/>
      <c r="D1061" s="20"/>
      <c r="E1061" s="192"/>
      <c r="F1061" s="27"/>
      <c r="G1061" s="18"/>
      <c r="H1061" s="28">
        <f>SUM(H1052:H1060)</f>
        <v>3685728</v>
      </c>
      <c r="J1061" s="30" t="e">
        <f>#REF!</f>
        <v>#REF!</v>
      </c>
      <c r="K1061" s="30" t="e">
        <f>J1061-136000</f>
        <v>#REF!</v>
      </c>
    </row>
    <row r="1062" spans="1:11" s="31" customFormat="1" ht="18">
      <c r="A1062" s="381">
        <v>5</v>
      </c>
      <c r="B1062" s="12" t="s">
        <v>22</v>
      </c>
      <c r="C1062" s="62">
        <f>E1062/D1062</f>
        <v>0.1200892857142857</v>
      </c>
      <c r="D1062" s="68">
        <v>224</v>
      </c>
      <c r="E1062" s="53" t="s">
        <v>91</v>
      </c>
      <c r="F1062" s="67" t="s">
        <v>1</v>
      </c>
      <c r="G1062" s="13">
        <v>21525</v>
      </c>
      <c r="H1062" s="70">
        <f>E1062*G1062</f>
        <v>579022.5</v>
      </c>
      <c r="I1062" s="71" t="s">
        <v>2</v>
      </c>
      <c r="K1062" s="72" t="e">
        <f>H1061-K1061</f>
        <v>#REF!</v>
      </c>
    </row>
    <row r="1063" spans="1:11" s="31" customFormat="1" ht="18">
      <c r="A1063" s="382"/>
      <c r="B1063" s="38" t="s">
        <v>49</v>
      </c>
      <c r="C1063" s="48">
        <f>E1063/D1063</f>
        <v>3.6160714285714282E-2</v>
      </c>
      <c r="D1063" s="68">
        <v>224</v>
      </c>
      <c r="E1063" s="58">
        <v>8.1</v>
      </c>
      <c r="F1063" s="68" t="s">
        <v>1</v>
      </c>
      <c r="G1063" s="18">
        <v>199500</v>
      </c>
      <c r="H1063" s="74">
        <f>E1063*G1063</f>
        <v>1615950</v>
      </c>
    </row>
    <row r="1064" spans="1:11" s="31" customFormat="1" ht="18">
      <c r="A1064" s="382"/>
      <c r="B1064" s="17" t="s">
        <v>6</v>
      </c>
      <c r="C1064" s="48">
        <f t="shared" ref="C1064:C1067" si="152">E1064/D1064</f>
        <v>2.7232142857142854E-2</v>
      </c>
      <c r="D1064" s="68">
        <v>224</v>
      </c>
      <c r="E1064" s="58">
        <v>6.1</v>
      </c>
      <c r="F1064" s="68" t="s">
        <v>1</v>
      </c>
      <c r="G1064" s="18">
        <v>136500</v>
      </c>
      <c r="H1064" s="74">
        <f t="shared" ref="H1064:H1070" si="153">E1064*G1064</f>
        <v>832650</v>
      </c>
      <c r="I1064" s="44"/>
    </row>
    <row r="1065" spans="1:11" s="31" customFormat="1" ht="20.399999999999999">
      <c r="A1065" s="382"/>
      <c r="B1065" s="17" t="s">
        <v>9</v>
      </c>
      <c r="C1065" s="48">
        <f t="shared" si="152"/>
        <v>4.464285714285714E-3</v>
      </c>
      <c r="D1065" s="68">
        <v>224</v>
      </c>
      <c r="E1065" s="57">
        <v>1</v>
      </c>
      <c r="F1065" s="68" t="s">
        <v>1</v>
      </c>
      <c r="G1065" s="18">
        <v>36720</v>
      </c>
      <c r="H1065" s="74">
        <f t="shared" si="153"/>
        <v>36720</v>
      </c>
      <c r="I1065" s="65"/>
    </row>
    <row r="1066" spans="1:11" s="31" customFormat="1" ht="18">
      <c r="A1066" s="382"/>
      <c r="B1066" s="17" t="s">
        <v>50</v>
      </c>
      <c r="C1066" s="48">
        <f t="shared" si="152"/>
        <v>6.6964285714285711E-3</v>
      </c>
      <c r="D1066" s="68">
        <v>224</v>
      </c>
      <c r="E1066" s="59">
        <v>1.5</v>
      </c>
      <c r="F1066" s="68" t="s">
        <v>1</v>
      </c>
      <c r="G1066" s="18">
        <v>36750</v>
      </c>
      <c r="H1066" s="74">
        <f t="shared" si="153"/>
        <v>55125</v>
      </c>
    </row>
    <row r="1067" spans="1:11" s="31" customFormat="1" ht="18">
      <c r="A1067" s="382"/>
      <c r="B1067" s="17" t="s">
        <v>31</v>
      </c>
      <c r="C1067" s="48">
        <f t="shared" si="152"/>
        <v>3.6607142857142852E-2</v>
      </c>
      <c r="D1067" s="68">
        <v>224</v>
      </c>
      <c r="E1067" s="57">
        <v>8.1999999999999993</v>
      </c>
      <c r="F1067" s="68" t="s">
        <v>1</v>
      </c>
      <c r="G1067" s="18">
        <v>47250</v>
      </c>
      <c r="H1067" s="74">
        <f t="shared" si="153"/>
        <v>387449.99999999994</v>
      </c>
    </row>
    <row r="1068" spans="1:11" s="31" customFormat="1" ht="18">
      <c r="A1068" s="382"/>
      <c r="B1068" s="17" t="s">
        <v>12</v>
      </c>
      <c r="C1068" s="76"/>
      <c r="D1068" s="68"/>
      <c r="E1068" s="59">
        <v>0.1</v>
      </c>
      <c r="F1068" s="68" t="s">
        <v>1</v>
      </c>
      <c r="G1068" s="18">
        <v>60900</v>
      </c>
      <c r="H1068" s="74">
        <f t="shared" si="153"/>
        <v>6090</v>
      </c>
    </row>
    <row r="1069" spans="1:11" s="31" customFormat="1" ht="18">
      <c r="A1069" s="382"/>
      <c r="B1069" s="17" t="s">
        <v>51</v>
      </c>
      <c r="C1069" s="76"/>
      <c r="D1069" s="68"/>
      <c r="E1069" s="59">
        <v>0.1</v>
      </c>
      <c r="F1069" s="68" t="s">
        <v>1</v>
      </c>
      <c r="G1069" s="36">
        <v>49350</v>
      </c>
      <c r="H1069" s="74">
        <f t="shared" si="153"/>
        <v>4935</v>
      </c>
    </row>
    <row r="1070" spans="1:11" s="31" customFormat="1" ht="18">
      <c r="A1070" s="382"/>
      <c r="B1070" s="17" t="s">
        <v>83</v>
      </c>
      <c r="C1070" s="76"/>
      <c r="D1070" s="68"/>
      <c r="E1070" s="199">
        <v>8</v>
      </c>
      <c r="F1070" s="68" t="s">
        <v>1</v>
      </c>
      <c r="G1070" s="73">
        <v>18900</v>
      </c>
      <c r="H1070" s="74">
        <f t="shared" si="153"/>
        <v>151200</v>
      </c>
    </row>
    <row r="1071" spans="1:11" s="31" customFormat="1" ht="18">
      <c r="A1071" s="77"/>
      <c r="B1071" s="78"/>
      <c r="C1071" s="79"/>
      <c r="D1071" s="79"/>
      <c r="E1071" s="79"/>
      <c r="F1071" s="79"/>
      <c r="G1071" s="80"/>
      <c r="H1071" s="81">
        <f>SUM(H1062:H1070)</f>
        <v>3669142.5</v>
      </c>
      <c r="J1071" s="93" t="e">
        <f>#REF!</f>
        <v>#REF!</v>
      </c>
      <c r="K1071" s="31" t="e">
        <f>J1071-136000</f>
        <v>#REF!</v>
      </c>
    </row>
    <row r="1072" spans="1:11" s="31" customFormat="1" ht="18">
      <c r="A1072" s="381">
        <v>6</v>
      </c>
      <c r="B1072" s="67" t="s">
        <v>22</v>
      </c>
      <c r="C1072" s="62">
        <f>E1072/D1072</f>
        <v>0.1200892857142857</v>
      </c>
      <c r="D1072" s="68">
        <v>224</v>
      </c>
      <c r="E1072" s="198" t="s">
        <v>91</v>
      </c>
      <c r="F1072" s="68" t="s">
        <v>1</v>
      </c>
      <c r="G1072" s="69">
        <v>21525</v>
      </c>
      <c r="H1072" s="39">
        <f>E1072*G1072</f>
        <v>579022.5</v>
      </c>
      <c r="I1072" s="71" t="s">
        <v>2</v>
      </c>
      <c r="J1072" s="72"/>
      <c r="K1072" s="72" t="e">
        <f>K1071-H1071</f>
        <v>#REF!</v>
      </c>
    </row>
    <row r="1073" spans="1:11" s="31" customFormat="1" ht="18">
      <c r="A1073" s="382"/>
      <c r="B1073" s="68" t="s">
        <v>10</v>
      </c>
      <c r="C1073" s="48">
        <f>E1073/D1073</f>
        <v>7.6339285714285721E-2</v>
      </c>
      <c r="D1073" s="68">
        <v>224</v>
      </c>
      <c r="E1073" s="76">
        <v>17.100000000000001</v>
      </c>
      <c r="F1073" s="68" t="s">
        <v>1</v>
      </c>
      <c r="G1073" s="73">
        <v>131250</v>
      </c>
      <c r="H1073" s="19">
        <f>E1073*G1073</f>
        <v>2244375</v>
      </c>
      <c r="K1073" s="72"/>
    </row>
    <row r="1074" spans="1:11" s="31" customFormat="1" ht="18">
      <c r="A1074" s="382"/>
      <c r="B1074" s="68" t="s">
        <v>7</v>
      </c>
      <c r="C1074" s="48">
        <f t="shared" ref="C1074:C1078" si="154">E1074/D1074</f>
        <v>0.5758928571428571</v>
      </c>
      <c r="D1074" s="68">
        <v>224</v>
      </c>
      <c r="E1074" s="76">
        <v>129</v>
      </c>
      <c r="F1074" s="68" t="s">
        <v>1</v>
      </c>
      <c r="G1074" s="73">
        <v>3672</v>
      </c>
      <c r="H1074" s="19">
        <f t="shared" ref="H1074:H1079" si="155">E1074*G1074</f>
        <v>473688</v>
      </c>
    </row>
    <row r="1075" spans="1:11" s="31" customFormat="1" ht="18">
      <c r="A1075" s="382"/>
      <c r="B1075" s="68" t="s">
        <v>6</v>
      </c>
      <c r="C1075" s="48">
        <f t="shared" si="154"/>
        <v>4.464285714285714E-3</v>
      </c>
      <c r="D1075" s="68">
        <v>224</v>
      </c>
      <c r="E1075" s="76">
        <v>1</v>
      </c>
      <c r="F1075" s="68" t="s">
        <v>1</v>
      </c>
      <c r="G1075" s="73">
        <v>136500</v>
      </c>
      <c r="H1075" s="19">
        <f t="shared" si="155"/>
        <v>136500</v>
      </c>
    </row>
    <row r="1076" spans="1:11" s="31" customFormat="1" ht="18">
      <c r="A1076" s="382"/>
      <c r="B1076" s="68" t="s">
        <v>8</v>
      </c>
      <c r="C1076" s="48">
        <f t="shared" si="154"/>
        <v>4.464285714285714E-3</v>
      </c>
      <c r="D1076" s="68">
        <v>224</v>
      </c>
      <c r="E1076" s="191" t="s">
        <v>26</v>
      </c>
      <c r="F1076" s="68" t="s">
        <v>1</v>
      </c>
      <c r="G1076" s="74">
        <v>58320</v>
      </c>
      <c r="H1076" s="19">
        <f t="shared" si="155"/>
        <v>58320</v>
      </c>
      <c r="J1076" s="72" t="e">
        <f>#REF!</f>
        <v>#REF!</v>
      </c>
      <c r="K1076" s="72" t="e">
        <f>J1076-136000</f>
        <v>#REF!</v>
      </c>
    </row>
    <row r="1077" spans="1:11" s="31" customFormat="1" ht="18">
      <c r="A1077" s="382"/>
      <c r="B1077" s="68" t="s">
        <v>84</v>
      </c>
      <c r="C1077" s="48">
        <f t="shared" si="154"/>
        <v>4.4642857142857147E-4</v>
      </c>
      <c r="D1077" s="68">
        <v>224</v>
      </c>
      <c r="E1077" s="76">
        <v>0.1</v>
      </c>
      <c r="F1077" s="68" t="s">
        <v>1</v>
      </c>
      <c r="G1077" s="73">
        <v>60900</v>
      </c>
      <c r="H1077" s="19">
        <f t="shared" si="155"/>
        <v>6090</v>
      </c>
      <c r="K1077" s="72" t="e">
        <f>H1080-K1076</f>
        <v>#REF!</v>
      </c>
    </row>
    <row r="1078" spans="1:11" s="31" customFormat="1" ht="18">
      <c r="A1078" s="382"/>
      <c r="B1078" s="68" t="s">
        <v>9</v>
      </c>
      <c r="C1078" s="48">
        <f t="shared" si="154"/>
        <v>4.464285714285714E-3</v>
      </c>
      <c r="D1078" s="68">
        <v>224</v>
      </c>
      <c r="E1078" s="191" t="s">
        <v>26</v>
      </c>
      <c r="F1078" s="68" t="s">
        <v>1</v>
      </c>
      <c r="G1078" s="73">
        <v>36720</v>
      </c>
      <c r="H1078" s="19">
        <f t="shared" si="155"/>
        <v>36720</v>
      </c>
    </row>
    <row r="1079" spans="1:11" s="31" customFormat="1" ht="18">
      <c r="A1079" s="382"/>
      <c r="B1079" s="86" t="s">
        <v>85</v>
      </c>
      <c r="C1079" s="76"/>
      <c r="D1079" s="68">
        <v>224</v>
      </c>
      <c r="E1079" s="75">
        <v>6</v>
      </c>
      <c r="F1079" s="68" t="s">
        <v>1</v>
      </c>
      <c r="G1079" s="73">
        <v>23100</v>
      </c>
      <c r="H1079" s="19">
        <f t="shared" si="155"/>
        <v>138600</v>
      </c>
      <c r="J1079" s="72">
        <f>H1075+H1079</f>
        <v>275100</v>
      </c>
    </row>
    <row r="1080" spans="1:11" ht="18">
      <c r="A1080" s="2"/>
      <c r="B1080" s="82"/>
      <c r="C1080" s="50"/>
      <c r="D1080" s="2"/>
      <c r="E1080" s="195"/>
      <c r="F1080" s="5"/>
      <c r="G1080" s="2"/>
      <c r="H1080" s="26">
        <f>SUM(H1072:H1079)</f>
        <v>3673315.5</v>
      </c>
      <c r="J1080" t="e">
        <f>#REF!</f>
        <v>#REF!</v>
      </c>
      <c r="K1080" s="37" t="e">
        <f>J1080-136000</f>
        <v>#REF!</v>
      </c>
    </row>
    <row r="1081" spans="1:11" ht="18">
      <c r="A1081" s="386" t="s">
        <v>28</v>
      </c>
      <c r="B1081" s="386"/>
      <c r="C1081" s="386" t="s">
        <v>29</v>
      </c>
      <c r="D1081" s="386"/>
      <c r="E1081" s="386"/>
      <c r="F1081" s="1"/>
      <c r="G1081" s="347" t="s">
        <v>59</v>
      </c>
      <c r="H1081" s="347"/>
    </row>
  </sheetData>
  <mergeCells count="143">
    <mergeCell ref="A1052:A1061"/>
    <mergeCell ref="A1062:A1070"/>
    <mergeCell ref="A1072:A1079"/>
    <mergeCell ref="A1081:B1081"/>
    <mergeCell ref="C1081:E1081"/>
    <mergeCell ref="G1081:H1081"/>
    <mergeCell ref="A1031:H1031"/>
    <mergeCell ref="B1032:H1032"/>
    <mergeCell ref="A1034:A1042"/>
    <mergeCell ref="B1042:G1042"/>
    <mergeCell ref="A1043:A1051"/>
    <mergeCell ref="B1051:G1051"/>
    <mergeCell ref="A980:A989"/>
    <mergeCell ref="A990:A1000"/>
    <mergeCell ref="A1002:A1008"/>
    <mergeCell ref="A1010:B1010"/>
    <mergeCell ref="C1010:E1010"/>
    <mergeCell ref="G1010:H1010"/>
    <mergeCell ref="A960:H960"/>
    <mergeCell ref="B961:H961"/>
    <mergeCell ref="A963:A970"/>
    <mergeCell ref="B970:G970"/>
    <mergeCell ref="A971:A979"/>
    <mergeCell ref="B979:G979"/>
    <mergeCell ref="A903:A911"/>
    <mergeCell ref="B911:G911"/>
    <mergeCell ref="A912:A920"/>
    <mergeCell ref="A921:A930"/>
    <mergeCell ref="A932:A939"/>
    <mergeCell ref="A941:B941"/>
    <mergeCell ref="C941:E941"/>
    <mergeCell ref="G941:H941"/>
    <mergeCell ref="A839:A848"/>
    <mergeCell ref="A850:A857"/>
    <mergeCell ref="A891:H891"/>
    <mergeCell ref="B892:H892"/>
    <mergeCell ref="A894:A902"/>
    <mergeCell ref="B902:G902"/>
    <mergeCell ref="B809:H809"/>
    <mergeCell ref="A811:A820"/>
    <mergeCell ref="B820:G820"/>
    <mergeCell ref="A821:A829"/>
    <mergeCell ref="B829:G829"/>
    <mergeCell ref="A830:A838"/>
    <mergeCell ref="A729:A739"/>
    <mergeCell ref="B739:G739"/>
    <mergeCell ref="A740:A749"/>
    <mergeCell ref="A750:A757"/>
    <mergeCell ref="A759:A766"/>
    <mergeCell ref="A808:H808"/>
    <mergeCell ref="A687:A694"/>
    <mergeCell ref="A696:A703"/>
    <mergeCell ref="A717:H717"/>
    <mergeCell ref="B718:H718"/>
    <mergeCell ref="A720:A728"/>
    <mergeCell ref="B728:G728"/>
    <mergeCell ref="B658:H658"/>
    <mergeCell ref="A660:A669"/>
    <mergeCell ref="B669:G669"/>
    <mergeCell ref="A670:A678"/>
    <mergeCell ref="B678:G678"/>
    <mergeCell ref="A679:A686"/>
    <mergeCell ref="A610:A618"/>
    <mergeCell ref="B617:G617"/>
    <mergeCell ref="A619:A627"/>
    <mergeCell ref="A628:A636"/>
    <mergeCell ref="A638:A645"/>
    <mergeCell ref="A657:H657"/>
    <mergeCell ref="A571:B571"/>
    <mergeCell ref="C571:E571"/>
    <mergeCell ref="G571:H571"/>
    <mergeCell ref="A597:H597"/>
    <mergeCell ref="B598:H598"/>
    <mergeCell ref="A600:A609"/>
    <mergeCell ref="B609:G609"/>
    <mergeCell ref="B533:H533"/>
    <mergeCell ref="A535:A544"/>
    <mergeCell ref="B544:G544"/>
    <mergeCell ref="A545:A552"/>
    <mergeCell ref="A556:A560"/>
    <mergeCell ref="A562:A567"/>
    <mergeCell ref="A467:A475"/>
    <mergeCell ref="A478:A483"/>
    <mergeCell ref="A488:B488"/>
    <mergeCell ref="C488:E488"/>
    <mergeCell ref="G488:H488"/>
    <mergeCell ref="A532:H532"/>
    <mergeCell ref="A434:H434"/>
    <mergeCell ref="B435:H435"/>
    <mergeCell ref="A437:A447"/>
    <mergeCell ref="B447:G447"/>
    <mergeCell ref="A448:A455"/>
    <mergeCell ref="A459:A465"/>
    <mergeCell ref="G338:H338"/>
    <mergeCell ref="A380:H380"/>
    <mergeCell ref="B381:H381"/>
    <mergeCell ref="A382:A389"/>
    <mergeCell ref="A393:B393"/>
    <mergeCell ref="C393:E393"/>
    <mergeCell ref="G393:H393"/>
    <mergeCell ref="A297:A304"/>
    <mergeCell ref="A308:A314"/>
    <mergeCell ref="A316:A324"/>
    <mergeCell ref="A327:A333"/>
    <mergeCell ref="A338:B338"/>
    <mergeCell ref="C338:E338"/>
    <mergeCell ref="A237:B237"/>
    <mergeCell ref="C237:E237"/>
    <mergeCell ref="G237:H237"/>
    <mergeCell ref="A283:H283"/>
    <mergeCell ref="B284:H284"/>
    <mergeCell ref="A286:A296"/>
    <mergeCell ref="B296:G296"/>
    <mergeCell ref="A186:A195"/>
    <mergeCell ref="B195:G195"/>
    <mergeCell ref="A196:A205"/>
    <mergeCell ref="A208:A214"/>
    <mergeCell ref="A216:A223"/>
    <mergeCell ref="A225:A232"/>
    <mergeCell ref="A134:A138"/>
    <mergeCell ref="A146:B146"/>
    <mergeCell ref="C146:E146"/>
    <mergeCell ref="G146:H146"/>
    <mergeCell ref="A183:H183"/>
    <mergeCell ref="B184:H184"/>
    <mergeCell ref="A107:A114"/>
    <mergeCell ref="A117:A123"/>
    <mergeCell ref="A125:A132"/>
    <mergeCell ref="A35:A42"/>
    <mergeCell ref="A46:A49"/>
    <mergeCell ref="A57:B57"/>
    <mergeCell ref="C57:E57"/>
    <mergeCell ref="G57:H57"/>
    <mergeCell ref="A94:H94"/>
    <mergeCell ref="A2:H2"/>
    <mergeCell ref="B3:H3"/>
    <mergeCell ref="A5:A13"/>
    <mergeCell ref="B13:G13"/>
    <mergeCell ref="A14:A22"/>
    <mergeCell ref="A25:A32"/>
    <mergeCell ref="B95:H95"/>
    <mergeCell ref="A97:A106"/>
    <mergeCell ref="B106:G106"/>
  </mergeCells>
  <pageMargins left="0.39370078740157483" right="0.31496062992125984" top="0.43307086614173229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68FB9-E7F7-4688-8CB3-DB42ACF76743}">
  <dimension ref="A1:H232"/>
  <sheetViews>
    <sheetView tabSelected="1" topLeftCell="A176" zoomScaleNormal="100" workbookViewId="0">
      <selection activeCell="H234" sqref="H234"/>
    </sheetView>
  </sheetViews>
  <sheetFormatPr defaultRowHeight="13.8"/>
  <cols>
    <col min="1" max="1" width="5.796875" customWidth="1"/>
    <col min="2" max="2" width="23.19921875" customWidth="1"/>
    <col min="3" max="3" width="8.8984375" style="34" customWidth="1"/>
    <col min="4" max="4" width="6.796875" customWidth="1"/>
    <col min="5" max="5" width="7.8984375" style="34" customWidth="1"/>
    <col min="6" max="6" width="4.8984375" customWidth="1"/>
    <col min="7" max="7" width="10.09765625" customWidth="1"/>
    <col min="8" max="8" width="13.296875" customWidth="1"/>
  </cols>
  <sheetData>
    <row r="1" spans="1:8" ht="15.6">
      <c r="A1" s="6" t="s">
        <v>0</v>
      </c>
      <c r="B1" s="6"/>
    </row>
    <row r="2" spans="1:8" s="110" customFormat="1" ht="16.8" customHeight="1">
      <c r="A2" s="347" t="s">
        <v>150</v>
      </c>
      <c r="B2" s="347"/>
      <c r="C2" s="347"/>
      <c r="D2" s="347"/>
      <c r="E2" s="347"/>
      <c r="F2" s="347"/>
      <c r="G2" s="347"/>
      <c r="H2" s="347"/>
    </row>
    <row r="3" spans="1:8" s="110" customFormat="1" ht="16.8" customHeight="1">
      <c r="A3" s="109"/>
      <c r="B3" s="348" t="s">
        <v>168</v>
      </c>
      <c r="C3" s="348"/>
      <c r="D3" s="348"/>
      <c r="E3" s="348"/>
      <c r="F3" s="348"/>
      <c r="G3" s="348"/>
      <c r="H3" s="348"/>
    </row>
    <row r="4" spans="1:8" ht="15" customHeight="1">
      <c r="A4" s="7" t="s">
        <v>15</v>
      </c>
      <c r="B4" s="8" t="s">
        <v>16</v>
      </c>
      <c r="C4" s="9" t="s">
        <v>17</v>
      </c>
      <c r="D4" s="10" t="s">
        <v>18</v>
      </c>
      <c r="E4" s="45" t="s">
        <v>19</v>
      </c>
      <c r="F4" s="11" t="s">
        <v>5</v>
      </c>
      <c r="G4" s="7" t="s">
        <v>20</v>
      </c>
      <c r="H4" s="7" t="s">
        <v>21</v>
      </c>
    </row>
    <row r="5" spans="1:8" s="117" customFormat="1" ht="15" customHeight="1">
      <c r="A5" s="356" t="s">
        <v>169</v>
      </c>
      <c r="B5" s="111" t="s">
        <v>11</v>
      </c>
      <c r="C5" s="112">
        <f>E5/D5</f>
        <v>0.11965065502183406</v>
      </c>
      <c r="D5" s="38">
        <v>229</v>
      </c>
      <c r="E5" s="184">
        <v>27.4</v>
      </c>
      <c r="F5" s="113" t="s">
        <v>1</v>
      </c>
      <c r="G5" s="114">
        <v>21525</v>
      </c>
      <c r="H5" s="115">
        <f>E5*G5</f>
        <v>589785</v>
      </c>
    </row>
    <row r="6" spans="1:8" s="117" customFormat="1" ht="15" customHeight="1">
      <c r="A6" s="357"/>
      <c r="B6" s="38" t="s">
        <v>42</v>
      </c>
      <c r="C6" s="38">
        <f>E6/D6</f>
        <v>5.8078602620087343E-2</v>
      </c>
      <c r="D6" s="38">
        <v>229</v>
      </c>
      <c r="E6" s="163">
        <v>13.3</v>
      </c>
      <c r="F6" s="38" t="s">
        <v>1</v>
      </c>
      <c r="G6" s="120">
        <v>172800</v>
      </c>
      <c r="H6" s="121">
        <f>E6*G6</f>
        <v>2298240</v>
      </c>
    </row>
    <row r="7" spans="1:8" s="117" customFormat="1" ht="15" customHeight="1">
      <c r="A7" s="358"/>
      <c r="B7" s="38" t="s">
        <v>43</v>
      </c>
      <c r="C7" s="38">
        <f t="shared" ref="C7:C9" si="0">E7/D7</f>
        <v>0.57205240174672489</v>
      </c>
      <c r="D7" s="38">
        <v>229</v>
      </c>
      <c r="E7" s="163">
        <v>131</v>
      </c>
      <c r="F7" s="38" t="s">
        <v>1</v>
      </c>
      <c r="G7" s="120">
        <v>3456</v>
      </c>
      <c r="H7" s="121">
        <f t="shared" ref="H7:H13" si="1">E7*G7</f>
        <v>452736</v>
      </c>
    </row>
    <row r="8" spans="1:8" s="117" customFormat="1" ht="15" customHeight="1">
      <c r="A8" s="358"/>
      <c r="B8" s="38" t="s">
        <v>44</v>
      </c>
      <c r="C8" s="38">
        <f t="shared" si="0"/>
        <v>2.1834061135371178E-2</v>
      </c>
      <c r="D8" s="38">
        <v>229</v>
      </c>
      <c r="E8" s="163">
        <v>5</v>
      </c>
      <c r="F8" s="38" t="s">
        <v>1</v>
      </c>
      <c r="G8" s="120">
        <v>23100</v>
      </c>
      <c r="H8" s="121">
        <f t="shared" si="1"/>
        <v>115500</v>
      </c>
    </row>
    <row r="9" spans="1:8" s="117" customFormat="1" ht="15" customHeight="1">
      <c r="A9" s="358"/>
      <c r="B9" s="38" t="s">
        <v>13</v>
      </c>
      <c r="C9" s="38">
        <f t="shared" si="0"/>
        <v>4.3668122270742356E-3</v>
      </c>
      <c r="D9" s="38">
        <v>229</v>
      </c>
      <c r="E9" s="163">
        <v>1</v>
      </c>
      <c r="F9" s="38" t="s">
        <v>1</v>
      </c>
      <c r="G9" s="120">
        <v>164850</v>
      </c>
      <c r="H9" s="121">
        <f t="shared" si="1"/>
        <v>164850</v>
      </c>
    </row>
    <row r="10" spans="1:8" s="117" customFormat="1" ht="15" customHeight="1">
      <c r="A10" s="358"/>
      <c r="B10" s="38" t="s">
        <v>119</v>
      </c>
      <c r="C10" s="38"/>
      <c r="D10" s="38">
        <v>229</v>
      </c>
      <c r="E10" s="163">
        <v>5.6</v>
      </c>
      <c r="F10" s="38" t="s">
        <v>1</v>
      </c>
      <c r="G10" s="120">
        <v>18900</v>
      </c>
      <c r="H10" s="121">
        <f t="shared" si="1"/>
        <v>105840</v>
      </c>
    </row>
    <row r="11" spans="1:8" s="117" customFormat="1" ht="15" customHeight="1">
      <c r="A11" s="358"/>
      <c r="B11" s="38" t="s">
        <v>14</v>
      </c>
      <c r="C11" s="38"/>
      <c r="D11" s="38">
        <v>229</v>
      </c>
      <c r="E11" s="163">
        <v>1</v>
      </c>
      <c r="F11" s="38" t="s">
        <v>1</v>
      </c>
      <c r="G11" s="120">
        <v>21000</v>
      </c>
      <c r="H11" s="121">
        <f t="shared" si="1"/>
        <v>21000</v>
      </c>
    </row>
    <row r="12" spans="1:8" s="117" customFormat="1" ht="15" customHeight="1">
      <c r="A12" s="358"/>
      <c r="B12" s="38" t="s">
        <v>12</v>
      </c>
      <c r="C12" s="38"/>
      <c r="D12" s="38">
        <v>229</v>
      </c>
      <c r="E12" s="163">
        <v>0.1</v>
      </c>
      <c r="F12" s="38" t="s">
        <v>1</v>
      </c>
      <c r="G12" s="120">
        <v>60900</v>
      </c>
      <c r="H12" s="121">
        <f t="shared" si="1"/>
        <v>6090</v>
      </c>
    </row>
    <row r="13" spans="1:8" s="117" customFormat="1" ht="15" customHeight="1">
      <c r="A13" s="358"/>
      <c r="B13" s="38" t="s">
        <v>41</v>
      </c>
      <c r="C13" s="38"/>
      <c r="D13" s="38">
        <v>229</v>
      </c>
      <c r="E13" s="185">
        <v>0.1</v>
      </c>
      <c r="F13" s="38" t="s">
        <v>1</v>
      </c>
      <c r="G13" s="120">
        <v>42000</v>
      </c>
      <c r="H13" s="121">
        <f t="shared" si="1"/>
        <v>4200</v>
      </c>
    </row>
    <row r="14" spans="1:8" s="117" customFormat="1" ht="15" customHeight="1">
      <c r="A14" s="358"/>
      <c r="B14" s="125" t="s">
        <v>25</v>
      </c>
      <c r="C14" s="125"/>
      <c r="D14" s="125"/>
      <c r="E14" s="126"/>
      <c r="F14" s="127"/>
      <c r="G14" s="125"/>
      <c r="H14" s="133">
        <f>133080+1679</f>
        <v>134759</v>
      </c>
    </row>
    <row r="15" spans="1:8" s="117" customFormat="1" ht="22.2" customHeight="1">
      <c r="A15" s="359"/>
      <c r="B15" s="361"/>
      <c r="C15" s="362"/>
      <c r="D15" s="362"/>
      <c r="E15" s="362"/>
      <c r="F15" s="362"/>
      <c r="G15" s="363"/>
      <c r="H15" s="139">
        <f>SUM(H5:H14)</f>
        <v>3893000</v>
      </c>
    </row>
    <row r="16" spans="1:8" s="117" customFormat="1" ht="15" customHeight="1">
      <c r="A16" s="349" t="s">
        <v>170</v>
      </c>
      <c r="B16" s="113" t="s">
        <v>22</v>
      </c>
      <c r="C16" s="140">
        <f>E16/D16</f>
        <v>0.11965065502183406</v>
      </c>
      <c r="D16" s="38">
        <v>229</v>
      </c>
      <c r="E16" s="186" t="s">
        <v>163</v>
      </c>
      <c r="F16" s="113" t="s">
        <v>1</v>
      </c>
      <c r="G16" s="141">
        <v>21525</v>
      </c>
      <c r="H16" s="115">
        <f>E16*G16</f>
        <v>589785</v>
      </c>
    </row>
    <row r="17" spans="1:8" s="117" customFormat="1" ht="15" customHeight="1">
      <c r="A17" s="350"/>
      <c r="B17" s="38" t="s">
        <v>87</v>
      </c>
      <c r="C17" s="142">
        <f t="shared" ref="C17:C18" si="2">E17/D17</f>
        <v>7.2052401746724892E-2</v>
      </c>
      <c r="D17" s="38">
        <v>229</v>
      </c>
      <c r="E17" s="143">
        <v>16.5</v>
      </c>
      <c r="F17" s="38" t="s">
        <v>1</v>
      </c>
      <c r="G17" s="120">
        <v>130200</v>
      </c>
      <c r="H17" s="121">
        <f>E17*G17-1892</f>
        <v>2146408</v>
      </c>
    </row>
    <row r="18" spans="1:8" s="117" customFormat="1" ht="15" customHeight="1">
      <c r="A18" s="350"/>
      <c r="B18" s="38" t="s">
        <v>36</v>
      </c>
      <c r="C18" s="144">
        <f t="shared" si="2"/>
        <v>3.2314410480349345E-2</v>
      </c>
      <c r="D18" s="38">
        <v>229</v>
      </c>
      <c r="E18" s="119" t="s">
        <v>139</v>
      </c>
      <c r="F18" s="38" t="s">
        <v>1</v>
      </c>
      <c r="G18" s="120">
        <v>67200</v>
      </c>
      <c r="H18" s="121">
        <f>E18*G18</f>
        <v>497280</v>
      </c>
    </row>
    <row r="19" spans="1:8" s="117" customFormat="1" ht="15" customHeight="1">
      <c r="A19" s="350"/>
      <c r="B19" s="38" t="s">
        <v>78</v>
      </c>
      <c r="C19" s="144"/>
      <c r="D19" s="38">
        <v>229</v>
      </c>
      <c r="E19" s="119" t="s">
        <v>48</v>
      </c>
      <c r="F19" s="38" t="s">
        <v>1</v>
      </c>
      <c r="G19" s="120">
        <v>78750</v>
      </c>
      <c r="H19" s="121">
        <f t="shared" ref="H19:H23" si="3">E19*G19</f>
        <v>236250</v>
      </c>
    </row>
    <row r="20" spans="1:8" s="117" customFormat="1" ht="15" customHeight="1">
      <c r="A20" s="350"/>
      <c r="B20" s="38" t="s">
        <v>79</v>
      </c>
      <c r="C20" s="144"/>
      <c r="D20" s="38">
        <v>229</v>
      </c>
      <c r="E20" s="119" t="s">
        <v>162</v>
      </c>
      <c r="F20" s="38" t="s">
        <v>4</v>
      </c>
      <c r="G20" s="120">
        <v>20478</v>
      </c>
      <c r="H20" s="121">
        <f t="shared" si="3"/>
        <v>268261.8</v>
      </c>
    </row>
    <row r="21" spans="1:8" s="117" customFormat="1" ht="15" customHeight="1">
      <c r="A21" s="351"/>
      <c r="B21" s="38" t="s">
        <v>81</v>
      </c>
      <c r="C21" s="38"/>
      <c r="D21" s="38">
        <v>229</v>
      </c>
      <c r="E21" s="119" t="s">
        <v>46</v>
      </c>
      <c r="F21" s="38" t="s">
        <v>1</v>
      </c>
      <c r="G21" s="120">
        <v>63000</v>
      </c>
      <c r="H21" s="121">
        <f t="shared" si="3"/>
        <v>6300</v>
      </c>
    </row>
    <row r="22" spans="1:8" s="117" customFormat="1" ht="15" customHeight="1">
      <c r="A22" s="351"/>
      <c r="B22" s="38" t="s">
        <v>66</v>
      </c>
      <c r="C22" s="146"/>
      <c r="D22" s="38">
        <v>229</v>
      </c>
      <c r="E22" s="119" t="s">
        <v>46</v>
      </c>
      <c r="F22" s="38" t="s">
        <v>1</v>
      </c>
      <c r="G22" s="120">
        <v>60900</v>
      </c>
      <c r="H22" s="121">
        <f t="shared" si="3"/>
        <v>6090</v>
      </c>
    </row>
    <row r="23" spans="1:8" s="148" customFormat="1" ht="15" customHeight="1">
      <c r="A23" s="351"/>
      <c r="B23" s="38" t="s">
        <v>82</v>
      </c>
      <c r="C23" s="125"/>
      <c r="D23" s="38">
        <v>229</v>
      </c>
      <c r="E23" s="119" t="s">
        <v>57</v>
      </c>
      <c r="F23" s="38" t="s">
        <v>1</v>
      </c>
      <c r="G23" s="120">
        <v>42000</v>
      </c>
      <c r="H23" s="121">
        <f t="shared" si="3"/>
        <v>8400</v>
      </c>
    </row>
    <row r="24" spans="1:8" s="117" customFormat="1" ht="15" customHeight="1">
      <c r="A24" s="145"/>
      <c r="B24" s="125" t="s">
        <v>25</v>
      </c>
      <c r="C24" s="125"/>
      <c r="D24" s="38">
        <v>229</v>
      </c>
      <c r="E24" s="126"/>
      <c r="F24" s="127"/>
      <c r="G24" s="125"/>
      <c r="H24" s="133">
        <f>133080+873+272</f>
        <v>134225</v>
      </c>
    </row>
    <row r="25" spans="1:8" s="148" customFormat="1" ht="18.600000000000001" customHeight="1">
      <c r="A25" s="149"/>
      <c r="B25" s="150"/>
      <c r="C25" s="151"/>
      <c r="D25" s="151"/>
      <c r="E25" s="152"/>
      <c r="F25" s="153"/>
      <c r="G25" s="150"/>
      <c r="H25" s="154">
        <f>SUM(H16:H24)</f>
        <v>3892999.8</v>
      </c>
    </row>
    <row r="26" spans="1:8" s="117" customFormat="1" ht="15" customHeight="1">
      <c r="A26" s="122"/>
      <c r="B26" s="113" t="s">
        <v>22</v>
      </c>
      <c r="C26" s="140">
        <f>E26/D26</f>
        <v>0.11965065502183406</v>
      </c>
      <c r="D26" s="159">
        <v>229</v>
      </c>
      <c r="E26" s="187" t="s">
        <v>163</v>
      </c>
      <c r="F26" s="160" t="s">
        <v>1</v>
      </c>
      <c r="G26" s="141">
        <v>21525</v>
      </c>
      <c r="H26" s="161">
        <f>E26*G26</f>
        <v>589785</v>
      </c>
    </row>
    <row r="27" spans="1:8" s="117" customFormat="1" ht="15" customHeight="1">
      <c r="A27" s="350" t="s">
        <v>171</v>
      </c>
      <c r="B27" s="162" t="s">
        <v>144</v>
      </c>
      <c r="C27" s="142">
        <f>E27/D27</f>
        <v>5.8515283842794759E-2</v>
      </c>
      <c r="D27" s="164">
        <v>229</v>
      </c>
      <c r="E27" s="188" t="s">
        <v>164</v>
      </c>
      <c r="F27" s="38" t="s">
        <v>1</v>
      </c>
      <c r="G27" s="165">
        <v>162000</v>
      </c>
      <c r="H27" s="121">
        <f t="shared" ref="H27:H32" si="4">E27*G27</f>
        <v>2170800</v>
      </c>
    </row>
    <row r="28" spans="1:8" s="117" customFormat="1" ht="15" customHeight="1">
      <c r="A28" s="350"/>
      <c r="B28" s="162" t="s">
        <v>53</v>
      </c>
      <c r="C28" s="142">
        <f t="shared" ref="C28:C29" si="5">E28/D28</f>
        <v>3.4934497816593885E-2</v>
      </c>
      <c r="D28" s="164">
        <v>229</v>
      </c>
      <c r="E28" s="188" t="s">
        <v>23</v>
      </c>
      <c r="F28" s="38" t="s">
        <v>1</v>
      </c>
      <c r="G28" s="165">
        <v>89250</v>
      </c>
      <c r="H28" s="121">
        <f t="shared" si="4"/>
        <v>714000</v>
      </c>
    </row>
    <row r="29" spans="1:8" s="117" customFormat="1" ht="15" customHeight="1">
      <c r="A29" s="350"/>
      <c r="B29" s="38" t="s">
        <v>153</v>
      </c>
      <c r="C29" s="142">
        <f t="shared" si="5"/>
        <v>4.3668122270742356E-3</v>
      </c>
      <c r="D29" s="166">
        <v>229</v>
      </c>
      <c r="E29" s="163">
        <v>1</v>
      </c>
      <c r="F29" s="38" t="s">
        <v>4</v>
      </c>
      <c r="G29" s="120">
        <v>137550</v>
      </c>
      <c r="H29" s="121">
        <f t="shared" si="4"/>
        <v>137550</v>
      </c>
    </row>
    <row r="30" spans="1:8" s="117" customFormat="1" ht="15" customHeight="1">
      <c r="A30" s="350"/>
      <c r="B30" s="38" t="s">
        <v>55</v>
      </c>
      <c r="C30" s="163"/>
      <c r="D30" s="166"/>
      <c r="E30" s="163">
        <v>0.1</v>
      </c>
      <c r="F30" s="38" t="s">
        <v>4</v>
      </c>
      <c r="G30" s="120">
        <v>42000</v>
      </c>
      <c r="H30" s="121">
        <f t="shared" si="4"/>
        <v>4200</v>
      </c>
    </row>
    <row r="31" spans="1:8" s="117" customFormat="1" ht="15" customHeight="1">
      <c r="A31" s="350"/>
      <c r="B31" s="162" t="s">
        <v>154</v>
      </c>
      <c r="C31" s="163"/>
      <c r="D31" s="166"/>
      <c r="E31" s="185">
        <v>7.3</v>
      </c>
      <c r="F31" s="38" t="s">
        <v>1</v>
      </c>
      <c r="G31" s="120">
        <v>18900</v>
      </c>
      <c r="H31" s="121">
        <f t="shared" si="4"/>
        <v>137970</v>
      </c>
    </row>
    <row r="32" spans="1:8" s="117" customFormat="1" ht="15" customHeight="1">
      <c r="A32" s="350"/>
      <c r="B32" s="38" t="s">
        <v>66</v>
      </c>
      <c r="C32" s="146"/>
      <c r="D32" s="38"/>
      <c r="E32" s="119" t="s">
        <v>46</v>
      </c>
      <c r="F32" s="38" t="s">
        <v>1</v>
      </c>
      <c r="G32" s="120">
        <v>60900</v>
      </c>
      <c r="H32" s="121">
        <f t="shared" si="4"/>
        <v>6090</v>
      </c>
    </row>
    <row r="33" spans="1:8" s="117" customFormat="1" ht="15" customHeight="1">
      <c r="A33" s="351"/>
      <c r="B33" s="167" t="s">
        <v>25</v>
      </c>
      <c r="C33" s="146"/>
      <c r="D33" s="168"/>
      <c r="E33" s="169"/>
      <c r="F33" s="164" t="s">
        <v>1</v>
      </c>
      <c r="G33" s="120"/>
      <c r="H33" s="121">
        <f>133080-475</f>
        <v>132605</v>
      </c>
    </row>
    <row r="34" spans="1:8" s="117" customFormat="1" ht="20.399999999999999" customHeight="1">
      <c r="A34" s="170"/>
      <c r="B34" s="136"/>
      <c r="C34" s="137"/>
      <c r="D34" s="137"/>
      <c r="E34" s="137"/>
      <c r="F34" s="137"/>
      <c r="G34" s="138"/>
      <c r="H34" s="139">
        <f>SUM(H26:H33)</f>
        <v>3893000</v>
      </c>
    </row>
    <row r="35" spans="1:8" s="117" customFormat="1" ht="20.399999999999999" customHeight="1">
      <c r="A35" s="366" t="s">
        <v>172</v>
      </c>
      <c r="B35" s="113" t="s">
        <v>22</v>
      </c>
      <c r="C35" s="210">
        <f>E35/D35</f>
        <v>0.11973684210526316</v>
      </c>
      <c r="D35" s="38">
        <v>228</v>
      </c>
      <c r="E35" s="211" t="s">
        <v>174</v>
      </c>
      <c r="F35" s="212" t="s">
        <v>1</v>
      </c>
      <c r="G35" s="141">
        <v>21525</v>
      </c>
      <c r="H35" s="115">
        <f>E35*G35</f>
        <v>587632.5</v>
      </c>
    </row>
    <row r="36" spans="1:8" s="117" customFormat="1" ht="20.399999999999999" customHeight="1">
      <c r="A36" s="351"/>
      <c r="B36" s="38" t="s">
        <v>159</v>
      </c>
      <c r="C36" s="210">
        <f>E36/D36</f>
        <v>3.9035087719298249E-2</v>
      </c>
      <c r="D36" s="38">
        <v>228</v>
      </c>
      <c r="E36" s="143">
        <v>8.9</v>
      </c>
      <c r="F36" s="213" t="s">
        <v>1</v>
      </c>
      <c r="G36" s="120">
        <v>215250</v>
      </c>
      <c r="H36" s="121">
        <f>E36*G36</f>
        <v>1915725</v>
      </c>
    </row>
    <row r="37" spans="1:8" s="117" customFormat="1" ht="20.399999999999999" customHeight="1">
      <c r="A37" s="351"/>
      <c r="B37" s="38" t="s">
        <v>87</v>
      </c>
      <c r="C37" s="210">
        <f t="shared" ref="C37:C40" si="6">E37/D37</f>
        <v>1.7543859649122806E-2</v>
      </c>
      <c r="D37" s="38">
        <v>228</v>
      </c>
      <c r="E37" s="143">
        <v>4</v>
      </c>
      <c r="F37" s="213" t="s">
        <v>1</v>
      </c>
      <c r="G37" s="120">
        <v>123900</v>
      </c>
      <c r="H37" s="121">
        <f t="shared" ref="H37:H39" si="7">E37*G37</f>
        <v>495600</v>
      </c>
    </row>
    <row r="38" spans="1:8" s="117" customFormat="1" ht="20.399999999999999" customHeight="1">
      <c r="A38" s="351"/>
      <c r="B38" s="38" t="s">
        <v>6</v>
      </c>
      <c r="C38" s="210">
        <f t="shared" si="6"/>
        <v>4.3859649122807015E-3</v>
      </c>
      <c r="D38" s="38">
        <v>228</v>
      </c>
      <c r="E38" s="214">
        <v>1</v>
      </c>
      <c r="F38" s="213" t="s">
        <v>1</v>
      </c>
      <c r="G38" s="120">
        <v>137550</v>
      </c>
      <c r="H38" s="121">
        <f t="shared" si="7"/>
        <v>137550</v>
      </c>
    </row>
    <row r="39" spans="1:8" s="117" customFormat="1" ht="20.399999999999999" customHeight="1">
      <c r="A39" s="351"/>
      <c r="B39" s="38" t="s">
        <v>9</v>
      </c>
      <c r="C39" s="210">
        <f t="shared" si="6"/>
        <v>4.3859649122807015E-3</v>
      </c>
      <c r="D39" s="38">
        <v>228</v>
      </c>
      <c r="E39" s="215">
        <v>1</v>
      </c>
      <c r="F39" s="213" t="s">
        <v>1</v>
      </c>
      <c r="G39" s="120">
        <v>44280</v>
      </c>
      <c r="H39" s="121">
        <f t="shared" si="7"/>
        <v>44280</v>
      </c>
    </row>
    <row r="40" spans="1:8" s="117" customFormat="1" ht="20.399999999999999" customHeight="1">
      <c r="A40" s="351"/>
      <c r="B40" s="38" t="s">
        <v>31</v>
      </c>
      <c r="C40" s="210">
        <f t="shared" si="6"/>
        <v>4.0789473684210528E-2</v>
      </c>
      <c r="D40" s="38">
        <v>228</v>
      </c>
      <c r="E40" s="215">
        <v>9.3000000000000007</v>
      </c>
      <c r="F40" s="213" t="s">
        <v>1</v>
      </c>
      <c r="G40" s="120">
        <v>42000</v>
      </c>
      <c r="H40" s="121">
        <f>E40*G40</f>
        <v>390600.00000000006</v>
      </c>
    </row>
    <row r="41" spans="1:8" s="117" customFormat="1" ht="20.399999999999999" customHeight="1">
      <c r="A41" s="351"/>
      <c r="B41" s="38" t="s">
        <v>120</v>
      </c>
      <c r="C41" s="142"/>
      <c r="D41" s="38"/>
      <c r="E41" s="215">
        <v>7.4</v>
      </c>
      <c r="F41" s="213" t="s">
        <v>1</v>
      </c>
      <c r="G41" s="205">
        <v>21000</v>
      </c>
      <c r="H41" s="121">
        <f t="shared" ref="H41:H43" si="8">E41*G41</f>
        <v>155400</v>
      </c>
    </row>
    <row r="42" spans="1:8" s="117" customFormat="1" ht="20.399999999999999" customHeight="1">
      <c r="A42" s="351"/>
      <c r="B42" s="38" t="s">
        <v>12</v>
      </c>
      <c r="C42" s="216"/>
      <c r="D42" s="38"/>
      <c r="E42" s="215">
        <v>0.2</v>
      </c>
      <c r="F42" s="213" t="s">
        <v>1</v>
      </c>
      <c r="G42" s="120">
        <v>60900</v>
      </c>
      <c r="H42" s="121">
        <f t="shared" si="8"/>
        <v>12180</v>
      </c>
    </row>
    <row r="43" spans="1:8" s="117" customFormat="1" ht="20.399999999999999" customHeight="1">
      <c r="A43" s="351"/>
      <c r="B43" s="38" t="s">
        <v>51</v>
      </c>
      <c r="C43" s="216"/>
      <c r="D43" s="38"/>
      <c r="E43" s="215">
        <v>0.1</v>
      </c>
      <c r="F43" s="213" t="s">
        <v>1</v>
      </c>
      <c r="G43" s="205">
        <v>42000</v>
      </c>
      <c r="H43" s="121">
        <f t="shared" si="8"/>
        <v>4200</v>
      </c>
    </row>
    <row r="44" spans="1:8" s="117" customFormat="1" ht="20.399999999999999" customHeight="1">
      <c r="A44" s="122"/>
      <c r="B44" s="167" t="s">
        <v>25</v>
      </c>
      <c r="C44" s="202"/>
      <c r="D44" s="203"/>
      <c r="E44" s="201"/>
      <c r="F44" s="204"/>
      <c r="G44" s="205"/>
      <c r="H44" s="206">
        <f>133080-625+377</f>
        <v>132832</v>
      </c>
    </row>
    <row r="45" spans="1:8" s="117" customFormat="1" ht="20.399999999999999" customHeight="1">
      <c r="A45" s="170"/>
      <c r="B45" s="200"/>
      <c r="C45" s="207"/>
      <c r="D45" s="207"/>
      <c r="E45" s="207"/>
      <c r="F45" s="207"/>
      <c r="G45" s="207"/>
      <c r="H45" s="139">
        <f>SUM(H35:H44)</f>
        <v>3875999.5</v>
      </c>
    </row>
    <row r="46" spans="1:8" s="117" customFormat="1" ht="15" customHeight="1">
      <c r="A46" s="350" t="s">
        <v>173</v>
      </c>
      <c r="B46" s="208" t="s">
        <v>22</v>
      </c>
      <c r="C46" s="171">
        <f>E46/D46</f>
        <v>0.11973684210526316</v>
      </c>
      <c r="D46" s="38">
        <v>228</v>
      </c>
      <c r="E46" s="187" t="s">
        <v>174</v>
      </c>
      <c r="F46" s="160" t="s">
        <v>1</v>
      </c>
      <c r="G46" s="209">
        <v>21525</v>
      </c>
      <c r="H46" s="161">
        <f>E46*G46</f>
        <v>587632.5</v>
      </c>
    </row>
    <row r="47" spans="1:8" s="117" customFormat="1" ht="15" customHeight="1">
      <c r="A47" s="350"/>
      <c r="B47" s="38" t="s">
        <v>6</v>
      </c>
      <c r="C47" s="142">
        <f t="shared" ref="C47:C50" si="9">E47/D47</f>
        <v>6.885964912280701E-2</v>
      </c>
      <c r="D47" s="38">
        <v>228</v>
      </c>
      <c r="E47" s="143">
        <v>15.7</v>
      </c>
      <c r="F47" s="38" t="s">
        <v>1</v>
      </c>
      <c r="G47" s="120">
        <v>137550</v>
      </c>
      <c r="H47" s="121">
        <f>E47*G47-1892</f>
        <v>2157643</v>
      </c>
    </row>
    <row r="48" spans="1:8" s="117" customFormat="1" ht="15" customHeight="1">
      <c r="A48" s="350"/>
      <c r="B48" s="38" t="s">
        <v>34</v>
      </c>
      <c r="C48" s="144">
        <f t="shared" si="9"/>
        <v>3.0701754385964912E-3</v>
      </c>
      <c r="D48" s="38">
        <v>228</v>
      </c>
      <c r="E48" s="119" t="s">
        <v>35</v>
      </c>
      <c r="F48" s="38" t="s">
        <v>1</v>
      </c>
      <c r="G48" s="120">
        <v>304500</v>
      </c>
      <c r="H48" s="121">
        <f>E48*G48</f>
        <v>213150</v>
      </c>
    </row>
    <row r="49" spans="1:8" s="117" customFormat="1" ht="15" customHeight="1">
      <c r="A49" s="350"/>
      <c r="B49" s="38" t="s">
        <v>36</v>
      </c>
      <c r="C49" s="144">
        <f t="shared" si="9"/>
        <v>3.9473684210526314E-2</v>
      </c>
      <c r="D49" s="38">
        <v>228</v>
      </c>
      <c r="E49" s="119" t="s">
        <v>145</v>
      </c>
      <c r="F49" s="38" t="s">
        <v>1</v>
      </c>
      <c r="G49" s="120">
        <v>67200</v>
      </c>
      <c r="H49" s="121">
        <f>E49*G49</f>
        <v>604800</v>
      </c>
    </row>
    <row r="50" spans="1:8" s="117" customFormat="1" ht="15" customHeight="1">
      <c r="A50" s="350"/>
      <c r="B50" s="38" t="s">
        <v>94</v>
      </c>
      <c r="C50" s="144">
        <f t="shared" si="9"/>
        <v>3.3771929824561404E-2</v>
      </c>
      <c r="D50" s="38">
        <v>228</v>
      </c>
      <c r="E50" s="119" t="s">
        <v>165</v>
      </c>
      <c r="F50" s="38" t="s">
        <v>1</v>
      </c>
      <c r="G50" s="120">
        <v>22050</v>
      </c>
      <c r="H50" s="121">
        <f t="shared" ref="H50:H52" si="10">E50*G50</f>
        <v>169785</v>
      </c>
    </row>
    <row r="51" spans="1:8" s="117" customFormat="1" ht="15" customHeight="1">
      <c r="A51" s="350"/>
      <c r="B51" s="38" t="s">
        <v>41</v>
      </c>
      <c r="C51" s="142"/>
      <c r="D51" s="38">
        <v>228</v>
      </c>
      <c r="E51" s="119" t="s">
        <v>46</v>
      </c>
      <c r="F51" s="38" t="s">
        <v>4</v>
      </c>
      <c r="G51" s="120">
        <v>42000</v>
      </c>
      <c r="H51" s="121">
        <f t="shared" si="10"/>
        <v>4200</v>
      </c>
    </row>
    <row r="52" spans="1:8" s="117" customFormat="1" ht="15" customHeight="1">
      <c r="A52" s="180"/>
      <c r="B52" s="38" t="s">
        <v>12</v>
      </c>
      <c r="C52" s="216"/>
      <c r="D52" s="38"/>
      <c r="E52" s="215">
        <v>0.1</v>
      </c>
      <c r="F52" s="213" t="s">
        <v>1</v>
      </c>
      <c r="G52" s="120">
        <v>60900</v>
      </c>
      <c r="H52" s="121">
        <f t="shared" si="10"/>
        <v>6090</v>
      </c>
    </row>
    <row r="53" spans="1:8" s="117" customFormat="1" ht="15" customHeight="1">
      <c r="A53" s="145"/>
      <c r="B53" s="125" t="s">
        <v>25</v>
      </c>
      <c r="C53" s="125"/>
      <c r="D53" s="125"/>
      <c r="E53" s="126"/>
      <c r="F53" s="127"/>
      <c r="G53" s="125"/>
      <c r="H53" s="133">
        <f>133080-381</f>
        <v>132699</v>
      </c>
    </row>
    <row r="54" spans="1:8" s="148" customFormat="1" ht="19.8" customHeight="1">
      <c r="A54" s="174"/>
      <c r="B54" s="175"/>
      <c r="C54" s="176"/>
      <c r="D54" s="176"/>
      <c r="E54" s="177"/>
      <c r="F54" s="178"/>
      <c r="G54" s="176"/>
      <c r="H54" s="179">
        <f>SUM(H46:H53)</f>
        <v>3875999.5</v>
      </c>
    </row>
    <row r="55" spans="1:8">
      <c r="A55" s="107"/>
      <c r="B55" s="107"/>
      <c r="C55" s="107"/>
      <c r="D55" s="107"/>
      <c r="E55" s="108"/>
    </row>
    <row r="56" spans="1:8" ht="18">
      <c r="A56" s="347" t="s">
        <v>28</v>
      </c>
      <c r="B56" s="347"/>
      <c r="C56" s="347" t="s">
        <v>29</v>
      </c>
      <c r="D56" s="347"/>
      <c r="E56" s="347"/>
      <c r="F56" s="1"/>
      <c r="G56" s="347" t="s">
        <v>30</v>
      </c>
      <c r="H56" s="347"/>
    </row>
    <row r="96" ht="48" customHeight="1"/>
    <row r="97" spans="1:8" ht="15.6">
      <c r="A97" s="6" t="s">
        <v>0</v>
      </c>
      <c r="B97" s="6"/>
    </row>
    <row r="98" spans="1:8" s="110" customFormat="1" ht="16.8" customHeight="1">
      <c r="A98" s="347" t="s">
        <v>150</v>
      </c>
      <c r="B98" s="347"/>
      <c r="C98" s="347"/>
      <c r="D98" s="347"/>
      <c r="E98" s="347"/>
      <c r="F98" s="347"/>
      <c r="G98" s="347"/>
      <c r="H98" s="347"/>
    </row>
    <row r="99" spans="1:8" s="110" customFormat="1" ht="16.8" customHeight="1">
      <c r="A99" s="109"/>
      <c r="B99" s="348" t="s">
        <v>167</v>
      </c>
      <c r="C99" s="348"/>
      <c r="D99" s="348"/>
      <c r="E99" s="348"/>
      <c r="F99" s="348"/>
      <c r="G99" s="348"/>
      <c r="H99" s="348"/>
    </row>
    <row r="100" spans="1:8" s="117" customFormat="1" ht="15" customHeight="1">
      <c r="A100" s="349" t="s">
        <v>166</v>
      </c>
      <c r="B100" s="113" t="s">
        <v>22</v>
      </c>
      <c r="C100" s="140">
        <f>E100/D100</f>
        <v>0.11877729257641921</v>
      </c>
      <c r="D100" s="38">
        <v>229</v>
      </c>
      <c r="E100" s="186" t="s">
        <v>65</v>
      </c>
      <c r="F100" s="113" t="s">
        <v>1</v>
      </c>
      <c r="G100" s="141">
        <v>21525</v>
      </c>
      <c r="H100" s="115">
        <f>E100*G100</f>
        <v>585480</v>
      </c>
    </row>
    <row r="101" spans="1:8" s="117" customFormat="1" ht="15" customHeight="1">
      <c r="A101" s="350"/>
      <c r="B101" s="38" t="s">
        <v>87</v>
      </c>
      <c r="C101" s="142">
        <f t="shared" ref="C101:C102" si="11">E101/D101</f>
        <v>7.0742358078602616E-2</v>
      </c>
      <c r="D101" s="38">
        <v>229</v>
      </c>
      <c r="E101" s="143">
        <v>16.2</v>
      </c>
      <c r="F101" s="38" t="s">
        <v>1</v>
      </c>
      <c r="G101" s="120">
        <v>130200</v>
      </c>
      <c r="H101" s="121">
        <f>E101*G101-1892</f>
        <v>2107348</v>
      </c>
    </row>
    <row r="102" spans="1:8" s="117" customFormat="1" ht="15" customHeight="1">
      <c r="A102" s="350"/>
      <c r="B102" s="38" t="s">
        <v>36</v>
      </c>
      <c r="C102" s="144">
        <f t="shared" si="11"/>
        <v>3.1004366812227072E-2</v>
      </c>
      <c r="D102" s="38">
        <v>229</v>
      </c>
      <c r="E102" s="119" t="s">
        <v>126</v>
      </c>
      <c r="F102" s="38" t="s">
        <v>1</v>
      </c>
      <c r="G102" s="120">
        <v>67200</v>
      </c>
      <c r="H102" s="121">
        <f>E102*G102</f>
        <v>477120</v>
      </c>
    </row>
    <row r="103" spans="1:8" s="117" customFormat="1" ht="15" customHeight="1">
      <c r="A103" s="350"/>
      <c r="B103" s="38" t="s">
        <v>78</v>
      </c>
      <c r="C103" s="144"/>
      <c r="D103" s="38"/>
      <c r="E103" s="119" t="s">
        <v>48</v>
      </c>
      <c r="F103" s="38" t="s">
        <v>1</v>
      </c>
      <c r="G103" s="120">
        <v>78750</v>
      </c>
      <c r="H103" s="121">
        <f t="shared" ref="H103:H107" si="12">E103*G103</f>
        <v>236250</v>
      </c>
    </row>
    <row r="104" spans="1:8" s="117" customFormat="1" ht="15" customHeight="1">
      <c r="A104" s="350"/>
      <c r="B104" s="38" t="s">
        <v>79</v>
      </c>
      <c r="C104" s="144"/>
      <c r="D104" s="38"/>
      <c r="E104" s="119" t="s">
        <v>80</v>
      </c>
      <c r="F104" s="38" t="s">
        <v>4</v>
      </c>
      <c r="G104" s="120">
        <v>20478</v>
      </c>
      <c r="H104" s="121">
        <f t="shared" si="12"/>
        <v>266214</v>
      </c>
    </row>
    <row r="105" spans="1:8" s="117" customFormat="1" ht="15" customHeight="1">
      <c r="A105" s="351"/>
      <c r="B105" s="38" t="s">
        <v>81</v>
      </c>
      <c r="C105" s="38"/>
      <c r="D105" s="38"/>
      <c r="E105" s="119" t="s">
        <v>46</v>
      </c>
      <c r="F105" s="38" t="s">
        <v>1</v>
      </c>
      <c r="G105" s="120">
        <v>63000</v>
      </c>
      <c r="H105" s="121">
        <f t="shared" si="12"/>
        <v>6300</v>
      </c>
    </row>
    <row r="106" spans="1:8" s="117" customFormat="1" ht="15" customHeight="1">
      <c r="A106" s="351"/>
      <c r="B106" s="38" t="s">
        <v>66</v>
      </c>
      <c r="C106" s="146"/>
      <c r="D106" s="38"/>
      <c r="E106" s="119" t="s">
        <v>46</v>
      </c>
      <c r="F106" s="38" t="s">
        <v>1</v>
      </c>
      <c r="G106" s="120">
        <v>60900</v>
      </c>
      <c r="H106" s="121">
        <f t="shared" si="12"/>
        <v>6090</v>
      </c>
    </row>
    <row r="107" spans="1:8" s="148" customFormat="1" ht="15" customHeight="1">
      <c r="A107" s="351"/>
      <c r="B107" s="38" t="s">
        <v>82</v>
      </c>
      <c r="C107" s="125"/>
      <c r="D107" s="125"/>
      <c r="E107" s="119" t="s">
        <v>57</v>
      </c>
      <c r="F107" s="38" t="s">
        <v>1</v>
      </c>
      <c r="G107" s="120">
        <v>42000</v>
      </c>
      <c r="H107" s="121">
        <f t="shared" si="12"/>
        <v>8400</v>
      </c>
    </row>
    <row r="108" spans="1:8" s="117" customFormat="1" ht="15" customHeight="1">
      <c r="A108" s="145"/>
      <c r="B108" s="125" t="s">
        <v>25</v>
      </c>
      <c r="C108" s="125"/>
      <c r="D108" s="125"/>
      <c r="E108" s="126"/>
      <c r="F108" s="127"/>
      <c r="G108" s="125"/>
      <c r="H108" s="133">
        <f>133080-1282</f>
        <v>131798</v>
      </c>
    </row>
    <row r="109" spans="1:8" s="148" customFormat="1" ht="18.600000000000001" customHeight="1">
      <c r="A109" s="149"/>
      <c r="B109" s="150"/>
      <c r="C109" s="151"/>
      <c r="D109" s="151"/>
      <c r="E109" s="152"/>
      <c r="F109" s="153"/>
      <c r="G109" s="150"/>
      <c r="H109" s="154">
        <f>SUM(H100:H108)</f>
        <v>3825000</v>
      </c>
    </row>
    <row r="111" spans="1:8" ht="18">
      <c r="A111" s="347" t="s">
        <v>28</v>
      </c>
      <c r="B111" s="347"/>
      <c r="C111" s="347" t="s">
        <v>29</v>
      </c>
      <c r="D111" s="347"/>
      <c r="E111" s="347"/>
      <c r="F111" s="1"/>
      <c r="G111" s="347" t="s">
        <v>30</v>
      </c>
      <c r="H111" s="347"/>
    </row>
    <row r="151" spans="1:8" ht="15.6">
      <c r="A151" s="6" t="s">
        <v>0</v>
      </c>
      <c r="B151" s="6"/>
    </row>
    <row r="152" spans="1:8" s="110" customFormat="1" ht="16.8" customHeight="1">
      <c r="A152" s="347" t="s">
        <v>150</v>
      </c>
      <c r="B152" s="347"/>
      <c r="C152" s="347"/>
      <c r="D152" s="347"/>
      <c r="E152" s="347"/>
      <c r="F152" s="347"/>
      <c r="G152" s="347"/>
      <c r="H152" s="347"/>
    </row>
    <row r="153" spans="1:8" s="110" customFormat="1" ht="16.8" customHeight="1">
      <c r="A153" s="109"/>
      <c r="B153" s="348" t="s">
        <v>151</v>
      </c>
      <c r="C153" s="348"/>
      <c r="D153" s="348"/>
      <c r="E153" s="348"/>
      <c r="F153" s="348"/>
      <c r="G153" s="348"/>
      <c r="H153" s="348"/>
    </row>
    <row r="154" spans="1:8" ht="15" customHeight="1">
      <c r="A154" s="7" t="s">
        <v>15</v>
      </c>
      <c r="B154" s="8" t="s">
        <v>16</v>
      </c>
      <c r="C154" s="9" t="s">
        <v>17</v>
      </c>
      <c r="D154" s="10" t="s">
        <v>18</v>
      </c>
      <c r="E154" s="45" t="s">
        <v>19</v>
      </c>
      <c r="F154" s="11" t="s">
        <v>5</v>
      </c>
      <c r="G154" s="7" t="s">
        <v>20</v>
      </c>
      <c r="H154" s="7" t="s">
        <v>21</v>
      </c>
    </row>
    <row r="155" spans="1:8" s="117" customFormat="1" ht="15" customHeight="1">
      <c r="A155" s="356" t="s">
        <v>155</v>
      </c>
      <c r="B155" s="111" t="s">
        <v>11</v>
      </c>
      <c r="C155" s="112">
        <f>E155/D155</f>
        <v>0.11904761904761904</v>
      </c>
      <c r="D155" s="38">
        <v>231</v>
      </c>
      <c r="E155" s="184">
        <v>27.5</v>
      </c>
      <c r="F155" s="113" t="s">
        <v>1</v>
      </c>
      <c r="G155" s="114">
        <v>21525</v>
      </c>
      <c r="H155" s="115">
        <f>E155*G155</f>
        <v>591937.5</v>
      </c>
    </row>
    <row r="156" spans="1:8" s="117" customFormat="1" ht="15" customHeight="1">
      <c r="A156" s="357"/>
      <c r="B156" s="38" t="s">
        <v>42</v>
      </c>
      <c r="C156" s="38">
        <f>E156/D156</f>
        <v>5.8008658008658009E-2</v>
      </c>
      <c r="D156" s="38">
        <v>231</v>
      </c>
      <c r="E156" s="163">
        <v>13.4</v>
      </c>
      <c r="F156" s="38" t="s">
        <v>1</v>
      </c>
      <c r="G156" s="120">
        <v>172800</v>
      </c>
      <c r="H156" s="121">
        <f>E156*G156</f>
        <v>2315520</v>
      </c>
    </row>
    <row r="157" spans="1:8" s="117" customFormat="1" ht="15" customHeight="1">
      <c r="A157" s="358"/>
      <c r="B157" s="38" t="s">
        <v>43</v>
      </c>
      <c r="C157" s="38">
        <f t="shared" ref="C157:C159" si="13">E157/D157</f>
        <v>0.56277056277056281</v>
      </c>
      <c r="D157" s="38">
        <v>231</v>
      </c>
      <c r="E157" s="163">
        <v>130</v>
      </c>
      <c r="F157" s="38" t="s">
        <v>1</v>
      </c>
      <c r="G157" s="120">
        <v>3456</v>
      </c>
      <c r="H157" s="121">
        <f t="shared" ref="H157:H163" si="14">E157*G157</f>
        <v>449280</v>
      </c>
    </row>
    <row r="158" spans="1:8" s="117" customFormat="1" ht="15" customHeight="1">
      <c r="A158" s="358"/>
      <c r="B158" s="38" t="s">
        <v>44</v>
      </c>
      <c r="C158" s="38">
        <f t="shared" si="13"/>
        <v>2.1645021645021644E-2</v>
      </c>
      <c r="D158" s="38">
        <v>231</v>
      </c>
      <c r="E158" s="163">
        <v>5</v>
      </c>
      <c r="F158" s="38" t="s">
        <v>1</v>
      </c>
      <c r="G158" s="120">
        <v>23100</v>
      </c>
      <c r="H158" s="121">
        <f t="shared" si="14"/>
        <v>115500</v>
      </c>
    </row>
    <row r="159" spans="1:8" s="117" customFormat="1" ht="15" customHeight="1">
      <c r="A159" s="358"/>
      <c r="B159" s="38" t="s">
        <v>13</v>
      </c>
      <c r="C159" s="38">
        <f t="shared" si="13"/>
        <v>4.329004329004329E-3</v>
      </c>
      <c r="D159" s="38">
        <v>231</v>
      </c>
      <c r="E159" s="163">
        <v>1</v>
      </c>
      <c r="F159" s="38" t="s">
        <v>1</v>
      </c>
      <c r="G159" s="120">
        <v>164850</v>
      </c>
      <c r="H159" s="121">
        <f t="shared" si="14"/>
        <v>164850</v>
      </c>
    </row>
    <row r="160" spans="1:8" s="117" customFormat="1" ht="15" customHeight="1">
      <c r="A160" s="358"/>
      <c r="B160" s="38" t="s">
        <v>119</v>
      </c>
      <c r="C160" s="38"/>
      <c r="D160" s="38">
        <v>231</v>
      </c>
      <c r="E160" s="163">
        <v>5.6</v>
      </c>
      <c r="F160" s="38" t="s">
        <v>1</v>
      </c>
      <c r="G160" s="120">
        <v>18900</v>
      </c>
      <c r="H160" s="121">
        <f t="shared" si="14"/>
        <v>105840</v>
      </c>
    </row>
    <row r="161" spans="1:8" s="117" customFormat="1" ht="15" customHeight="1">
      <c r="A161" s="358"/>
      <c r="B161" s="38" t="s">
        <v>14</v>
      </c>
      <c r="C161" s="38"/>
      <c r="D161" s="38">
        <v>231</v>
      </c>
      <c r="E161" s="163">
        <v>1</v>
      </c>
      <c r="F161" s="38" t="s">
        <v>1</v>
      </c>
      <c r="G161" s="120">
        <v>21000</v>
      </c>
      <c r="H161" s="121">
        <f t="shared" si="14"/>
        <v>21000</v>
      </c>
    </row>
    <row r="162" spans="1:8" s="117" customFormat="1" ht="15" customHeight="1">
      <c r="A162" s="358"/>
      <c r="B162" s="38" t="s">
        <v>12</v>
      </c>
      <c r="C162" s="38"/>
      <c r="D162" s="38">
        <v>231</v>
      </c>
      <c r="E162" s="163">
        <v>0.1</v>
      </c>
      <c r="F162" s="38" t="s">
        <v>1</v>
      </c>
      <c r="G162" s="120">
        <v>60900</v>
      </c>
      <c r="H162" s="121">
        <f t="shared" si="14"/>
        <v>6090</v>
      </c>
    </row>
    <row r="163" spans="1:8" s="117" customFormat="1" ht="15" customHeight="1">
      <c r="A163" s="358"/>
      <c r="B163" s="38" t="s">
        <v>41</v>
      </c>
      <c r="C163" s="38"/>
      <c r="D163" s="38">
        <v>231</v>
      </c>
      <c r="E163" s="185">
        <v>0.1</v>
      </c>
      <c r="F163" s="38" t="s">
        <v>1</v>
      </c>
      <c r="G163" s="120">
        <v>42000</v>
      </c>
      <c r="H163" s="121">
        <f t="shared" si="14"/>
        <v>4200</v>
      </c>
    </row>
    <row r="164" spans="1:8" s="117" customFormat="1" ht="15" customHeight="1">
      <c r="A164" s="358"/>
      <c r="B164" s="125" t="s">
        <v>25</v>
      </c>
      <c r="C164" s="125"/>
      <c r="D164" s="125"/>
      <c r="E164" s="126"/>
      <c r="F164" s="127"/>
      <c r="G164" s="125"/>
      <c r="H164" s="133">
        <v>133080</v>
      </c>
    </row>
    <row r="165" spans="1:8" s="117" customFormat="1" ht="22.2" customHeight="1">
      <c r="A165" s="359"/>
      <c r="B165" s="361"/>
      <c r="C165" s="362"/>
      <c r="D165" s="362"/>
      <c r="E165" s="362"/>
      <c r="F165" s="362"/>
      <c r="G165" s="363"/>
      <c r="H165" s="139">
        <f>SUM(H155:H164)</f>
        <v>3907297.5</v>
      </c>
    </row>
    <row r="166" spans="1:8" s="117" customFormat="1" ht="15" customHeight="1">
      <c r="A166" s="349" t="s">
        <v>156</v>
      </c>
      <c r="B166" s="113" t="s">
        <v>22</v>
      </c>
      <c r="C166" s="140">
        <f>E166/D166</f>
        <v>0.11956521739130435</v>
      </c>
      <c r="D166" s="38">
        <v>230</v>
      </c>
      <c r="E166" s="186" t="s">
        <v>161</v>
      </c>
      <c r="F166" s="113" t="s">
        <v>1</v>
      </c>
      <c r="G166" s="141">
        <v>21525</v>
      </c>
      <c r="H166" s="115">
        <f>E166*G166</f>
        <v>591937.5</v>
      </c>
    </row>
    <row r="167" spans="1:8" s="117" customFormat="1" ht="15" customHeight="1">
      <c r="A167" s="350"/>
      <c r="B167" s="38" t="s">
        <v>87</v>
      </c>
      <c r="C167" s="142">
        <f t="shared" ref="C167:C168" si="15">E167/D167</f>
        <v>7.2608695652173913E-2</v>
      </c>
      <c r="D167" s="38">
        <v>230</v>
      </c>
      <c r="E167" s="143">
        <v>16.7</v>
      </c>
      <c r="F167" s="38" t="s">
        <v>1</v>
      </c>
      <c r="G167" s="120">
        <v>130200</v>
      </c>
      <c r="H167" s="121">
        <f>E167*G167-1892</f>
        <v>2172448</v>
      </c>
    </row>
    <row r="168" spans="1:8" s="117" customFormat="1" ht="15" customHeight="1">
      <c r="A168" s="350"/>
      <c r="B168" s="38" t="s">
        <v>36</v>
      </c>
      <c r="C168" s="144">
        <f t="shared" si="15"/>
        <v>3.173913043478261E-2</v>
      </c>
      <c r="D168" s="38">
        <v>230</v>
      </c>
      <c r="E168" s="119" t="s">
        <v>152</v>
      </c>
      <c r="F168" s="38" t="s">
        <v>1</v>
      </c>
      <c r="G168" s="120">
        <v>67200</v>
      </c>
      <c r="H168" s="121">
        <f>E168*G168</f>
        <v>490560</v>
      </c>
    </row>
    <row r="169" spans="1:8" s="117" customFormat="1" ht="15" customHeight="1">
      <c r="A169" s="350"/>
      <c r="B169" s="38" t="s">
        <v>78</v>
      </c>
      <c r="C169" s="144"/>
      <c r="D169" s="38"/>
      <c r="E169" s="119" t="s">
        <v>48</v>
      </c>
      <c r="F169" s="38" t="s">
        <v>1</v>
      </c>
      <c r="G169" s="120">
        <v>78750</v>
      </c>
      <c r="H169" s="121">
        <f t="shared" ref="H169:H173" si="16">E169*G169</f>
        <v>236250</v>
      </c>
    </row>
    <row r="170" spans="1:8" s="117" customFormat="1" ht="15" customHeight="1">
      <c r="A170" s="350"/>
      <c r="B170" s="38" t="s">
        <v>79</v>
      </c>
      <c r="C170" s="144"/>
      <c r="D170" s="38"/>
      <c r="E170" s="119" t="s">
        <v>162</v>
      </c>
      <c r="F170" s="38" t="s">
        <v>4</v>
      </c>
      <c r="G170" s="120">
        <v>20478</v>
      </c>
      <c r="H170" s="121">
        <f t="shared" si="16"/>
        <v>268261.8</v>
      </c>
    </row>
    <row r="171" spans="1:8" s="117" customFormat="1" ht="15" customHeight="1">
      <c r="A171" s="351"/>
      <c r="B171" s="38" t="s">
        <v>81</v>
      </c>
      <c r="C171" s="38"/>
      <c r="D171" s="38"/>
      <c r="E171" s="119" t="s">
        <v>46</v>
      </c>
      <c r="F171" s="38" t="s">
        <v>1</v>
      </c>
      <c r="G171" s="120">
        <v>63000</v>
      </c>
      <c r="H171" s="121">
        <f t="shared" si="16"/>
        <v>6300</v>
      </c>
    </row>
    <row r="172" spans="1:8" s="117" customFormat="1" ht="15" customHeight="1">
      <c r="A172" s="351"/>
      <c r="B172" s="38" t="s">
        <v>66</v>
      </c>
      <c r="C172" s="146"/>
      <c r="D172" s="38"/>
      <c r="E172" s="119" t="s">
        <v>46</v>
      </c>
      <c r="F172" s="38" t="s">
        <v>1</v>
      </c>
      <c r="G172" s="120">
        <v>60900</v>
      </c>
      <c r="H172" s="121">
        <f t="shared" si="16"/>
        <v>6090</v>
      </c>
    </row>
    <row r="173" spans="1:8" s="148" customFormat="1" ht="15" customHeight="1">
      <c r="A173" s="351"/>
      <c r="B173" s="38" t="s">
        <v>82</v>
      </c>
      <c r="C173" s="125"/>
      <c r="D173" s="125"/>
      <c r="E173" s="119" t="s">
        <v>46</v>
      </c>
      <c r="F173" s="38" t="s">
        <v>1</v>
      </c>
      <c r="G173" s="120">
        <v>42000</v>
      </c>
      <c r="H173" s="121">
        <f t="shared" si="16"/>
        <v>4200</v>
      </c>
    </row>
    <row r="174" spans="1:8" s="117" customFormat="1" ht="15" customHeight="1">
      <c r="A174" s="145"/>
      <c r="B174" s="125" t="s">
        <v>25</v>
      </c>
      <c r="C174" s="125"/>
      <c r="D174" s="125"/>
      <c r="E174" s="126"/>
      <c r="F174" s="127"/>
      <c r="G174" s="125"/>
      <c r="H174" s="133">
        <f>133080+873</f>
        <v>133953</v>
      </c>
    </row>
    <row r="175" spans="1:8" s="148" customFormat="1" ht="18.600000000000001" customHeight="1">
      <c r="A175" s="149"/>
      <c r="B175" s="150"/>
      <c r="C175" s="151"/>
      <c r="D175" s="151"/>
      <c r="E175" s="152"/>
      <c r="F175" s="153"/>
      <c r="G175" s="150"/>
      <c r="H175" s="154">
        <f>SUM(H166:H174)</f>
        <v>3910000.3</v>
      </c>
    </row>
    <row r="176" spans="1:8" s="117" customFormat="1" ht="15" customHeight="1">
      <c r="A176" s="122"/>
      <c r="B176" s="113" t="s">
        <v>22</v>
      </c>
      <c r="C176" s="140">
        <f>E176/D176</f>
        <v>0.11965065502183406</v>
      </c>
      <c r="D176" s="159">
        <v>229</v>
      </c>
      <c r="E176" s="187" t="s">
        <v>163</v>
      </c>
      <c r="F176" s="160" t="s">
        <v>1</v>
      </c>
      <c r="G176" s="141">
        <v>21525</v>
      </c>
      <c r="H176" s="161">
        <f>E176*G176</f>
        <v>589785</v>
      </c>
    </row>
    <row r="177" spans="1:8" s="117" customFormat="1" ht="15" customHeight="1">
      <c r="A177" s="350" t="s">
        <v>157</v>
      </c>
      <c r="B177" s="162" t="s">
        <v>144</v>
      </c>
      <c r="C177" s="142">
        <f>E177/D177</f>
        <v>5.8515283842794759E-2</v>
      </c>
      <c r="D177" s="164">
        <v>229</v>
      </c>
      <c r="E177" s="188" t="s">
        <v>164</v>
      </c>
      <c r="F177" s="38" t="s">
        <v>1</v>
      </c>
      <c r="G177" s="165">
        <v>162000</v>
      </c>
      <c r="H177" s="121">
        <f t="shared" ref="H177:H182" si="17">E177*G177</f>
        <v>2170800</v>
      </c>
    </row>
    <row r="178" spans="1:8" s="117" customFormat="1" ht="15" customHeight="1">
      <c r="A178" s="350"/>
      <c r="B178" s="162" t="s">
        <v>53</v>
      </c>
      <c r="C178" s="142">
        <f t="shared" ref="C178:C179" si="18">E178/D178</f>
        <v>3.4934497816593885E-2</v>
      </c>
      <c r="D178" s="164">
        <v>229</v>
      </c>
      <c r="E178" s="188" t="s">
        <v>23</v>
      </c>
      <c r="F178" s="38" t="s">
        <v>1</v>
      </c>
      <c r="G178" s="165">
        <v>89250</v>
      </c>
      <c r="H178" s="121">
        <f t="shared" si="17"/>
        <v>714000</v>
      </c>
    </row>
    <row r="179" spans="1:8" s="117" customFormat="1" ht="15" customHeight="1">
      <c r="A179" s="350"/>
      <c r="B179" s="38" t="s">
        <v>153</v>
      </c>
      <c r="C179" s="142">
        <f t="shared" si="18"/>
        <v>4.3668122270742356E-3</v>
      </c>
      <c r="D179" s="166">
        <v>229</v>
      </c>
      <c r="E179" s="163">
        <v>1</v>
      </c>
      <c r="F179" s="38" t="s">
        <v>4</v>
      </c>
      <c r="G179" s="120">
        <v>137550</v>
      </c>
      <c r="H179" s="121">
        <f t="shared" si="17"/>
        <v>137550</v>
      </c>
    </row>
    <row r="180" spans="1:8" s="117" customFormat="1" ht="15" customHeight="1">
      <c r="A180" s="350"/>
      <c r="B180" s="38" t="s">
        <v>55</v>
      </c>
      <c r="C180" s="163"/>
      <c r="D180" s="166"/>
      <c r="E180" s="163">
        <v>0.1</v>
      </c>
      <c r="F180" s="38" t="s">
        <v>4</v>
      </c>
      <c r="G180" s="120">
        <v>42000</v>
      </c>
      <c r="H180" s="121">
        <f t="shared" si="17"/>
        <v>4200</v>
      </c>
    </row>
    <row r="181" spans="1:8" s="117" customFormat="1" ht="15" customHeight="1">
      <c r="A181" s="350"/>
      <c r="B181" s="162" t="s">
        <v>154</v>
      </c>
      <c r="C181" s="163"/>
      <c r="D181" s="166"/>
      <c r="E181" s="185">
        <v>7.3</v>
      </c>
      <c r="F181" s="38" t="s">
        <v>1</v>
      </c>
      <c r="G181" s="120">
        <v>18900</v>
      </c>
      <c r="H181" s="121">
        <f t="shared" si="17"/>
        <v>137970</v>
      </c>
    </row>
    <row r="182" spans="1:8" s="117" customFormat="1" ht="15" customHeight="1">
      <c r="A182" s="350"/>
      <c r="B182" s="38" t="s">
        <v>66</v>
      </c>
      <c r="C182" s="146"/>
      <c r="D182" s="38"/>
      <c r="E182" s="119" t="s">
        <v>46</v>
      </c>
      <c r="F182" s="38" t="s">
        <v>1</v>
      </c>
      <c r="G182" s="120">
        <v>60900</v>
      </c>
      <c r="H182" s="121">
        <f t="shared" si="17"/>
        <v>6090</v>
      </c>
    </row>
    <row r="183" spans="1:8" s="117" customFormat="1" ht="15" customHeight="1">
      <c r="A183" s="351"/>
      <c r="B183" s="167" t="s">
        <v>25</v>
      </c>
      <c r="C183" s="146"/>
      <c r="D183" s="168"/>
      <c r="E183" s="169"/>
      <c r="F183" s="164" t="s">
        <v>1</v>
      </c>
      <c r="G183" s="120"/>
      <c r="H183" s="121">
        <f>133080-475</f>
        <v>132605</v>
      </c>
    </row>
    <row r="184" spans="1:8" s="117" customFormat="1" ht="20.399999999999999" customHeight="1">
      <c r="A184" s="170"/>
      <c r="B184" s="136"/>
      <c r="C184" s="137"/>
      <c r="D184" s="137"/>
      <c r="E184" s="137"/>
      <c r="F184" s="137"/>
      <c r="G184" s="138"/>
      <c r="H184" s="139">
        <f>SUM(H176:H183)</f>
        <v>3893000</v>
      </c>
    </row>
    <row r="185" spans="1:8" s="117" customFormat="1" ht="20.399999999999999" customHeight="1">
      <c r="A185" s="366" t="s">
        <v>158</v>
      </c>
      <c r="B185" s="113" t="s">
        <v>22</v>
      </c>
      <c r="C185" s="210">
        <f>E185/D185</f>
        <v>0.11965065502183406</v>
      </c>
      <c r="D185" s="38">
        <v>229</v>
      </c>
      <c r="E185" s="211" t="s">
        <v>163</v>
      </c>
      <c r="F185" s="212" t="s">
        <v>1</v>
      </c>
      <c r="G185" s="141">
        <v>21525</v>
      </c>
      <c r="H185" s="115">
        <f>E185*G185</f>
        <v>589785</v>
      </c>
    </row>
    <row r="186" spans="1:8" s="117" customFormat="1" ht="20.399999999999999" customHeight="1">
      <c r="A186" s="351"/>
      <c r="B186" s="38" t="s">
        <v>159</v>
      </c>
      <c r="C186" s="210">
        <f>E186/D186</f>
        <v>3.9301310043668124E-2</v>
      </c>
      <c r="D186" s="38">
        <v>229</v>
      </c>
      <c r="E186" s="143">
        <v>9</v>
      </c>
      <c r="F186" s="213" t="s">
        <v>1</v>
      </c>
      <c r="G186" s="120">
        <v>215250</v>
      </c>
      <c r="H186" s="121">
        <f>E186*G186</f>
        <v>1937250</v>
      </c>
    </row>
    <row r="187" spans="1:8" s="117" customFormat="1" ht="20.399999999999999" customHeight="1">
      <c r="A187" s="351"/>
      <c r="B187" s="38" t="s">
        <v>87</v>
      </c>
      <c r="C187" s="210">
        <f t="shared" ref="C187:C190" si="19">E187/D187</f>
        <v>1.7467248908296942E-2</v>
      </c>
      <c r="D187" s="38">
        <v>229</v>
      </c>
      <c r="E187" s="143">
        <v>4</v>
      </c>
      <c r="F187" s="213" t="s">
        <v>1</v>
      </c>
      <c r="G187" s="120">
        <v>123900</v>
      </c>
      <c r="H187" s="121">
        <f t="shared" ref="H187:H189" si="20">E187*G187</f>
        <v>495600</v>
      </c>
    </row>
    <row r="188" spans="1:8" s="117" customFormat="1" ht="20.399999999999999" customHeight="1">
      <c r="A188" s="351"/>
      <c r="B188" s="38" t="s">
        <v>6</v>
      </c>
      <c r="C188" s="210">
        <f t="shared" si="19"/>
        <v>4.3668122270742356E-3</v>
      </c>
      <c r="D188" s="38">
        <v>229</v>
      </c>
      <c r="E188" s="214">
        <v>1</v>
      </c>
      <c r="F188" s="213" t="s">
        <v>1</v>
      </c>
      <c r="G188" s="120">
        <v>137550</v>
      </c>
      <c r="H188" s="121">
        <f t="shared" si="20"/>
        <v>137550</v>
      </c>
    </row>
    <row r="189" spans="1:8" s="117" customFormat="1" ht="20.399999999999999" customHeight="1">
      <c r="A189" s="351"/>
      <c r="B189" s="38" t="s">
        <v>9</v>
      </c>
      <c r="C189" s="210">
        <f t="shared" si="19"/>
        <v>4.3668122270742356E-3</v>
      </c>
      <c r="D189" s="38">
        <v>229</v>
      </c>
      <c r="E189" s="215">
        <v>1</v>
      </c>
      <c r="F189" s="213" t="s">
        <v>1</v>
      </c>
      <c r="G189" s="120">
        <v>44280</v>
      </c>
      <c r="H189" s="121">
        <f t="shared" si="20"/>
        <v>44280</v>
      </c>
    </row>
    <row r="190" spans="1:8" s="117" customFormat="1" ht="20.399999999999999" customHeight="1">
      <c r="A190" s="351"/>
      <c r="B190" s="38" t="s">
        <v>31</v>
      </c>
      <c r="C190" s="210">
        <f t="shared" si="19"/>
        <v>4.0611353711790393E-2</v>
      </c>
      <c r="D190" s="38">
        <v>229</v>
      </c>
      <c r="E190" s="215">
        <v>9.3000000000000007</v>
      </c>
      <c r="F190" s="213" t="s">
        <v>1</v>
      </c>
      <c r="G190" s="120">
        <v>42000</v>
      </c>
      <c r="H190" s="121">
        <f>E190*G190</f>
        <v>390600.00000000006</v>
      </c>
    </row>
    <row r="191" spans="1:8" s="117" customFormat="1" ht="20.399999999999999" customHeight="1">
      <c r="A191" s="351"/>
      <c r="B191" s="38" t="s">
        <v>120</v>
      </c>
      <c r="C191" s="142"/>
      <c r="D191" s="38"/>
      <c r="E191" s="215">
        <v>7.1</v>
      </c>
      <c r="F191" s="213" t="s">
        <v>1</v>
      </c>
      <c r="G191" s="205">
        <v>21000</v>
      </c>
      <c r="H191" s="121">
        <f t="shared" ref="H191:H193" si="21">E191*G191</f>
        <v>149100</v>
      </c>
    </row>
    <row r="192" spans="1:8" s="117" customFormat="1" ht="20.399999999999999" customHeight="1">
      <c r="A192" s="351"/>
      <c r="B192" s="38" t="s">
        <v>12</v>
      </c>
      <c r="C192" s="216"/>
      <c r="D192" s="38"/>
      <c r="E192" s="215">
        <v>0.2</v>
      </c>
      <c r="F192" s="213" t="s">
        <v>1</v>
      </c>
      <c r="G192" s="120">
        <v>60900</v>
      </c>
      <c r="H192" s="121">
        <f t="shared" si="21"/>
        <v>12180</v>
      </c>
    </row>
    <row r="193" spans="1:8" s="117" customFormat="1" ht="20.399999999999999" customHeight="1">
      <c r="A193" s="351"/>
      <c r="B193" s="38" t="s">
        <v>51</v>
      </c>
      <c r="C193" s="216"/>
      <c r="D193" s="38"/>
      <c r="E193" s="215">
        <v>0.1</v>
      </c>
      <c r="F193" s="213" t="s">
        <v>1</v>
      </c>
      <c r="G193" s="205">
        <v>42000</v>
      </c>
      <c r="H193" s="121">
        <f t="shared" si="21"/>
        <v>4200</v>
      </c>
    </row>
    <row r="194" spans="1:8" s="117" customFormat="1" ht="20.399999999999999" customHeight="1">
      <c r="A194" s="122"/>
      <c r="B194" s="167" t="s">
        <v>25</v>
      </c>
      <c r="C194" s="202"/>
      <c r="D194" s="203"/>
      <c r="E194" s="201"/>
      <c r="F194" s="204"/>
      <c r="G194" s="205"/>
      <c r="H194" s="206">
        <f>133080-625</f>
        <v>132455</v>
      </c>
    </row>
    <row r="195" spans="1:8" s="117" customFormat="1" ht="20.399999999999999" customHeight="1">
      <c r="A195" s="170"/>
      <c r="B195" s="200"/>
      <c r="C195" s="207"/>
      <c r="D195" s="207"/>
      <c r="E195" s="207"/>
      <c r="F195" s="207"/>
      <c r="G195" s="207"/>
      <c r="H195" s="139">
        <f>SUM(H185:H194)</f>
        <v>3893000</v>
      </c>
    </row>
    <row r="196" spans="1:8" s="117" customFormat="1" ht="15" customHeight="1">
      <c r="A196" s="350" t="s">
        <v>160</v>
      </c>
      <c r="B196" s="208" t="s">
        <v>22</v>
      </c>
      <c r="C196" s="171">
        <f>E196/D196</f>
        <v>0.11965065502183406</v>
      </c>
      <c r="D196" s="38">
        <v>229</v>
      </c>
      <c r="E196" s="187" t="s">
        <v>163</v>
      </c>
      <c r="F196" s="160" t="s">
        <v>1</v>
      </c>
      <c r="G196" s="209">
        <v>21525</v>
      </c>
      <c r="H196" s="161">
        <f>E196*G196</f>
        <v>589785</v>
      </c>
    </row>
    <row r="197" spans="1:8" s="117" customFormat="1" ht="15" customHeight="1">
      <c r="A197" s="350"/>
      <c r="B197" s="38" t="s">
        <v>6</v>
      </c>
      <c r="C197" s="142">
        <f t="shared" ref="C197:C200" si="22">E197/D197</f>
        <v>6.8995633187772923E-2</v>
      </c>
      <c r="D197" s="38">
        <v>229</v>
      </c>
      <c r="E197" s="143">
        <v>15.8</v>
      </c>
      <c r="F197" s="38" t="s">
        <v>1</v>
      </c>
      <c r="G197" s="120">
        <v>137550</v>
      </c>
      <c r="H197" s="121">
        <f>E197*G197-1892</f>
        <v>2171398</v>
      </c>
    </row>
    <row r="198" spans="1:8" s="117" customFormat="1" ht="15" customHeight="1">
      <c r="A198" s="350"/>
      <c r="B198" s="38" t="s">
        <v>34</v>
      </c>
      <c r="C198" s="144">
        <f t="shared" si="22"/>
        <v>3.0567685589519651E-3</v>
      </c>
      <c r="D198" s="38">
        <v>229</v>
      </c>
      <c r="E198" s="119" t="s">
        <v>35</v>
      </c>
      <c r="F198" s="38" t="s">
        <v>1</v>
      </c>
      <c r="G198" s="120">
        <v>304500</v>
      </c>
      <c r="H198" s="121">
        <f>E198*G198</f>
        <v>213150</v>
      </c>
    </row>
    <row r="199" spans="1:8" s="117" customFormat="1" ht="15" customHeight="1">
      <c r="A199" s="350"/>
      <c r="B199" s="38" t="s">
        <v>36</v>
      </c>
      <c r="C199" s="144">
        <f t="shared" si="22"/>
        <v>3.9301310043668124E-2</v>
      </c>
      <c r="D199" s="38">
        <v>229</v>
      </c>
      <c r="E199" s="119" t="s">
        <v>145</v>
      </c>
      <c r="F199" s="38" t="s">
        <v>1</v>
      </c>
      <c r="G199" s="120">
        <v>67200</v>
      </c>
      <c r="H199" s="121">
        <f>E199*G199</f>
        <v>604800</v>
      </c>
    </row>
    <row r="200" spans="1:8" s="117" customFormat="1" ht="15" customHeight="1">
      <c r="A200" s="350"/>
      <c r="B200" s="38" t="s">
        <v>94</v>
      </c>
      <c r="C200" s="144">
        <f t="shared" si="22"/>
        <v>3.3624454148471615E-2</v>
      </c>
      <c r="D200" s="38">
        <v>229</v>
      </c>
      <c r="E200" s="119" t="s">
        <v>165</v>
      </c>
      <c r="F200" s="38" t="s">
        <v>1</v>
      </c>
      <c r="G200" s="120">
        <v>22050</v>
      </c>
      <c r="H200" s="121">
        <f t="shared" ref="H200:H202" si="23">E200*G200</f>
        <v>169785</v>
      </c>
    </row>
    <row r="201" spans="1:8" s="117" customFormat="1" ht="15" customHeight="1">
      <c r="A201" s="350"/>
      <c r="B201" s="38" t="s">
        <v>41</v>
      </c>
      <c r="C201" s="142"/>
      <c r="D201" s="38">
        <v>229</v>
      </c>
      <c r="E201" s="119" t="s">
        <v>46</v>
      </c>
      <c r="F201" s="38" t="s">
        <v>4</v>
      </c>
      <c r="G201" s="120">
        <v>42000</v>
      </c>
      <c r="H201" s="121">
        <f t="shared" si="23"/>
        <v>4200</v>
      </c>
    </row>
    <row r="202" spans="1:8" s="117" customFormat="1" ht="15" customHeight="1">
      <c r="A202" s="180"/>
      <c r="B202" s="38" t="s">
        <v>12</v>
      </c>
      <c r="C202" s="216"/>
      <c r="D202" s="38"/>
      <c r="E202" s="215">
        <v>0.1</v>
      </c>
      <c r="F202" s="213" t="s">
        <v>1</v>
      </c>
      <c r="G202" s="120">
        <v>60900</v>
      </c>
      <c r="H202" s="121">
        <f t="shared" si="23"/>
        <v>6090</v>
      </c>
    </row>
    <row r="203" spans="1:8" s="117" customFormat="1" ht="15" customHeight="1">
      <c r="A203" s="145"/>
      <c r="B203" s="125" t="s">
        <v>25</v>
      </c>
      <c r="C203" s="125"/>
      <c r="D203" s="125"/>
      <c r="E203" s="126"/>
      <c r="F203" s="127"/>
      <c r="G203" s="125"/>
      <c r="H203" s="133">
        <v>133080</v>
      </c>
    </row>
    <row r="204" spans="1:8" s="148" customFormat="1" ht="19.8" customHeight="1">
      <c r="A204" s="174"/>
      <c r="B204" s="175"/>
      <c r="C204" s="176"/>
      <c r="D204" s="176"/>
      <c r="E204" s="177"/>
      <c r="F204" s="178"/>
      <c r="G204" s="176"/>
      <c r="H204" s="179">
        <f>SUM(H196:H203)</f>
        <v>3892288</v>
      </c>
    </row>
    <row r="205" spans="1:8">
      <c r="A205" s="107"/>
      <c r="B205" s="107"/>
      <c r="C205" s="107"/>
      <c r="D205" s="107"/>
      <c r="E205" s="108"/>
    </row>
    <row r="206" spans="1:8" ht="18">
      <c r="A206" s="347" t="s">
        <v>28</v>
      </c>
      <c r="B206" s="347"/>
      <c r="C206" s="347" t="s">
        <v>29</v>
      </c>
      <c r="D206" s="347"/>
      <c r="E206" s="347"/>
      <c r="F206" s="1"/>
      <c r="G206" s="347" t="s">
        <v>30</v>
      </c>
      <c r="H206" s="347"/>
    </row>
    <row r="210" spans="1:8" ht="15.6">
      <c r="A210" s="6" t="s">
        <v>0</v>
      </c>
      <c r="B210" s="6"/>
    </row>
    <row r="211" spans="1:8" s="110" customFormat="1" ht="16.8" customHeight="1">
      <c r="A211" s="367" t="s">
        <v>56</v>
      </c>
      <c r="B211" s="367"/>
      <c r="C211" s="367"/>
      <c r="D211" s="367"/>
      <c r="E211" s="367"/>
      <c r="F211" s="367"/>
      <c r="G211" s="367"/>
      <c r="H211" s="367"/>
    </row>
    <row r="212" spans="1:8" s="110" customFormat="1" ht="16.8" customHeight="1">
      <c r="A212" s="109"/>
      <c r="B212" s="348" t="s">
        <v>306</v>
      </c>
      <c r="C212" s="348"/>
      <c r="D212" s="348"/>
      <c r="E212" s="348"/>
      <c r="F212" s="348"/>
      <c r="G212" s="348"/>
      <c r="H212" s="348"/>
    </row>
    <row r="213" spans="1:8" ht="15" customHeight="1">
      <c r="A213" s="7" t="s">
        <v>15</v>
      </c>
      <c r="B213" s="8" t="s">
        <v>16</v>
      </c>
      <c r="C213" s="9" t="s">
        <v>17</v>
      </c>
      <c r="D213" s="10" t="s">
        <v>18</v>
      </c>
      <c r="E213" s="45" t="s">
        <v>19</v>
      </c>
      <c r="F213" s="11" t="s">
        <v>5</v>
      </c>
      <c r="G213" s="7" t="s">
        <v>20</v>
      </c>
      <c r="H213" s="7" t="s">
        <v>21</v>
      </c>
    </row>
    <row r="214" spans="1:8" s="117" customFormat="1" ht="15" customHeight="1">
      <c r="A214" s="122"/>
      <c r="B214" s="113" t="s">
        <v>22</v>
      </c>
      <c r="C214" s="158"/>
      <c r="D214" s="159">
        <v>231</v>
      </c>
      <c r="E214" s="187" t="s">
        <v>143</v>
      </c>
      <c r="F214" s="160" t="s">
        <v>1</v>
      </c>
      <c r="G214" s="141">
        <v>21525</v>
      </c>
      <c r="H214" s="161">
        <f>E214*G214</f>
        <v>594090</v>
      </c>
    </row>
    <row r="215" spans="1:8" s="117" customFormat="1" ht="15" customHeight="1">
      <c r="A215" s="350" t="s">
        <v>146</v>
      </c>
      <c r="B215" s="162" t="s">
        <v>144</v>
      </c>
      <c r="C215" s="163"/>
      <c r="D215" s="164">
        <v>231</v>
      </c>
      <c r="E215" s="188" t="s">
        <v>103</v>
      </c>
      <c r="F215" s="38" t="s">
        <v>1</v>
      </c>
      <c r="G215" s="165">
        <v>162000</v>
      </c>
      <c r="H215" s="121">
        <f t="shared" ref="H215:H218" si="24">E215*G215</f>
        <v>2316600</v>
      </c>
    </row>
    <row r="216" spans="1:8" s="117" customFormat="1" ht="15" customHeight="1">
      <c r="A216" s="350"/>
      <c r="B216" s="162" t="s">
        <v>53</v>
      </c>
      <c r="C216" s="163"/>
      <c r="D216" s="164">
        <v>231</v>
      </c>
      <c r="E216" s="188" t="s">
        <v>23</v>
      </c>
      <c r="F216" s="38" t="s">
        <v>1</v>
      </c>
      <c r="G216" s="165">
        <v>89250</v>
      </c>
      <c r="H216" s="121">
        <f t="shared" si="24"/>
        <v>714000</v>
      </c>
    </row>
    <row r="217" spans="1:8" s="117" customFormat="1" ht="15" customHeight="1">
      <c r="A217" s="350"/>
      <c r="B217" s="38" t="s">
        <v>55</v>
      </c>
      <c r="C217" s="163"/>
      <c r="D217" s="166"/>
      <c r="E217" s="163">
        <v>0.1</v>
      </c>
      <c r="F217" s="38" t="s">
        <v>4</v>
      </c>
      <c r="G217" s="120">
        <v>49350</v>
      </c>
      <c r="H217" s="121">
        <f t="shared" si="24"/>
        <v>4935</v>
      </c>
    </row>
    <row r="218" spans="1:8" s="117" customFormat="1" ht="15" customHeight="1">
      <c r="A218" s="350"/>
      <c r="B218" s="162" t="s">
        <v>149</v>
      </c>
      <c r="C218" s="163"/>
      <c r="D218" s="166"/>
      <c r="E218" s="185">
        <v>7.6</v>
      </c>
      <c r="F218" s="38" t="s">
        <v>1</v>
      </c>
      <c r="G218" s="120">
        <v>21000</v>
      </c>
      <c r="H218" s="121">
        <f t="shared" si="24"/>
        <v>159600</v>
      </c>
    </row>
    <row r="219" spans="1:8" s="117" customFormat="1" ht="15" customHeight="1">
      <c r="A219" s="351"/>
      <c r="B219" s="167" t="s">
        <v>25</v>
      </c>
      <c r="C219" s="146"/>
      <c r="D219" s="168"/>
      <c r="E219" s="169"/>
      <c r="F219" s="164" t="s">
        <v>1</v>
      </c>
      <c r="G219" s="120"/>
      <c r="H219" s="121">
        <v>136716</v>
      </c>
    </row>
    <row r="220" spans="1:8" s="117" customFormat="1" ht="20.399999999999999" customHeight="1">
      <c r="A220" s="170"/>
      <c r="B220" s="136"/>
      <c r="C220" s="137"/>
      <c r="D220" s="137"/>
      <c r="E220" s="137"/>
      <c r="F220" s="137"/>
      <c r="G220" s="138"/>
      <c r="H220" s="139">
        <f>SUM(H214:H219)</f>
        <v>3925941</v>
      </c>
    </row>
    <row r="221" spans="1:8" s="117" customFormat="1" ht="15" customHeight="1">
      <c r="A221" s="350" t="s">
        <v>142</v>
      </c>
      <c r="B221" s="113" t="s">
        <v>22</v>
      </c>
      <c r="C221" s="171">
        <f>E221/D221</f>
        <v>0.11948051948051949</v>
      </c>
      <c r="D221" s="162">
        <v>231</v>
      </c>
      <c r="E221" s="189" t="s">
        <v>143</v>
      </c>
      <c r="F221" s="162" t="s">
        <v>1</v>
      </c>
      <c r="G221" s="165">
        <v>21525</v>
      </c>
      <c r="H221" s="172">
        <f>E221*G221</f>
        <v>594090</v>
      </c>
    </row>
    <row r="222" spans="1:8" s="117" customFormat="1" ht="15" customHeight="1">
      <c r="A222" s="350"/>
      <c r="B222" s="38" t="s">
        <v>6</v>
      </c>
      <c r="C222" s="142">
        <f t="shared" ref="C222:C223" si="25">E222/D222</f>
        <v>6.9264069264069264E-2</v>
      </c>
      <c r="D222" s="38">
        <v>231</v>
      </c>
      <c r="E222" s="143">
        <v>16</v>
      </c>
      <c r="F222" s="38" t="s">
        <v>1</v>
      </c>
      <c r="G222" s="120">
        <v>137550</v>
      </c>
      <c r="H222" s="121">
        <f>E222*G222-1892</f>
        <v>2198908</v>
      </c>
    </row>
    <row r="223" spans="1:8" s="117" customFormat="1" ht="15" customHeight="1">
      <c r="A223" s="350"/>
      <c r="B223" s="38" t="s">
        <v>34</v>
      </c>
      <c r="C223" s="144">
        <f t="shared" si="25"/>
        <v>3.0303030303030303E-3</v>
      </c>
      <c r="D223" s="38">
        <v>231</v>
      </c>
      <c r="E223" s="119" t="s">
        <v>35</v>
      </c>
      <c r="F223" s="38" t="s">
        <v>1</v>
      </c>
      <c r="G223" s="120">
        <v>304500</v>
      </c>
      <c r="H223" s="121">
        <f>E223*G223</f>
        <v>213150</v>
      </c>
    </row>
    <row r="224" spans="1:8" s="117" customFormat="1" ht="15" customHeight="1">
      <c r="A224" s="350"/>
      <c r="B224" s="38" t="s">
        <v>36</v>
      </c>
      <c r="C224" s="144"/>
      <c r="D224" s="38">
        <v>231</v>
      </c>
      <c r="E224" s="119" t="s">
        <v>145</v>
      </c>
      <c r="F224" s="38" t="s">
        <v>1</v>
      </c>
      <c r="G224" s="120">
        <v>67200</v>
      </c>
      <c r="H224" s="121">
        <f>E224*G224</f>
        <v>604800</v>
      </c>
    </row>
    <row r="225" spans="1:8" s="117" customFormat="1" ht="15" customHeight="1">
      <c r="A225" s="350"/>
      <c r="B225" s="38" t="s">
        <v>94</v>
      </c>
      <c r="C225" s="144"/>
      <c r="D225" s="38"/>
      <c r="E225" s="119" t="s">
        <v>147</v>
      </c>
      <c r="F225" s="38" t="s">
        <v>1</v>
      </c>
      <c r="G225" s="120">
        <v>22050</v>
      </c>
      <c r="H225" s="121">
        <f t="shared" ref="H225:H226" si="26">E225*G225</f>
        <v>174195</v>
      </c>
    </row>
    <row r="226" spans="1:8" s="117" customFormat="1" ht="15" customHeight="1">
      <c r="A226" s="350"/>
      <c r="B226" s="173" t="s">
        <v>41</v>
      </c>
      <c r="C226" s="144"/>
      <c r="D226" s="38">
        <v>231</v>
      </c>
      <c r="E226" s="119" t="s">
        <v>46</v>
      </c>
      <c r="F226" s="38" t="s">
        <v>4</v>
      </c>
      <c r="G226" s="120">
        <v>42000</v>
      </c>
      <c r="H226" s="121">
        <f t="shared" si="26"/>
        <v>4200</v>
      </c>
    </row>
    <row r="227" spans="1:8" s="117" customFormat="1" ht="15" customHeight="1">
      <c r="A227" s="145"/>
      <c r="B227" s="125" t="s">
        <v>25</v>
      </c>
      <c r="C227" s="125"/>
      <c r="D227" s="125"/>
      <c r="E227" s="126"/>
      <c r="F227" s="127"/>
      <c r="G227" s="125"/>
      <c r="H227" s="133">
        <v>136716</v>
      </c>
    </row>
    <row r="228" spans="1:8" s="148" customFormat="1" ht="19.8" customHeight="1">
      <c r="A228" s="174"/>
      <c r="B228" s="175"/>
      <c r="C228" s="176"/>
      <c r="D228" s="176"/>
      <c r="E228" s="177"/>
      <c r="F228" s="178"/>
      <c r="G228" s="176"/>
      <c r="H228" s="179">
        <f>SUM(H221:H227)</f>
        <v>3926059</v>
      </c>
    </row>
    <row r="229" spans="1:8">
      <c r="A229" s="107"/>
      <c r="B229" s="107"/>
      <c r="C229" s="107"/>
      <c r="D229" s="107"/>
      <c r="E229" s="108"/>
    </row>
    <row r="230" spans="1:8" ht="18">
      <c r="A230" s="347" t="s">
        <v>28</v>
      </c>
      <c r="B230" s="347"/>
      <c r="C230" s="347" t="s">
        <v>29</v>
      </c>
      <c r="D230" s="347"/>
      <c r="E230" s="347"/>
      <c r="F230" s="1"/>
      <c r="G230" s="347" t="s">
        <v>30</v>
      </c>
      <c r="H230" s="347"/>
    </row>
    <row r="231" spans="1:8">
      <c r="C231"/>
      <c r="E231" s="52"/>
    </row>
    <row r="232" spans="1:8">
      <c r="C232"/>
      <c r="E232" s="52"/>
    </row>
  </sheetData>
  <mergeCells count="35">
    <mergeCell ref="A35:A43"/>
    <mergeCell ref="A46:A51"/>
    <mergeCell ref="A56:B56"/>
    <mergeCell ref="C56:E56"/>
    <mergeCell ref="G56:H56"/>
    <mergeCell ref="A98:H98"/>
    <mergeCell ref="A2:H2"/>
    <mergeCell ref="B3:H3"/>
    <mergeCell ref="A5:A15"/>
    <mergeCell ref="B15:G15"/>
    <mergeCell ref="A16:A23"/>
    <mergeCell ref="A27:A33"/>
    <mergeCell ref="B153:H153"/>
    <mergeCell ref="A155:A165"/>
    <mergeCell ref="B165:G165"/>
    <mergeCell ref="A166:A173"/>
    <mergeCell ref="A177:A183"/>
    <mergeCell ref="A185:A193"/>
    <mergeCell ref="B99:H99"/>
    <mergeCell ref="A100:A107"/>
    <mergeCell ref="A111:B111"/>
    <mergeCell ref="C111:E111"/>
    <mergeCell ref="G111:H111"/>
    <mergeCell ref="A152:H152"/>
    <mergeCell ref="A215:A219"/>
    <mergeCell ref="A221:A226"/>
    <mergeCell ref="A230:B230"/>
    <mergeCell ref="C230:E230"/>
    <mergeCell ref="G230:H230"/>
    <mergeCell ref="A196:A201"/>
    <mergeCell ref="A206:B206"/>
    <mergeCell ref="C206:E206"/>
    <mergeCell ref="G206:H206"/>
    <mergeCell ref="A211:H211"/>
    <mergeCell ref="B212:H212"/>
  </mergeCells>
  <pageMargins left="0.39370078740157483" right="0.31496062992125984" top="0.4330708661417322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 thuc pham T 04 2025 </vt:lpstr>
      <vt:lpstr>Dat thuc pham T 03 2025 (3)</vt:lpstr>
      <vt:lpstr>Dat thuc pham T 02 2025 (3)</vt:lpstr>
      <vt:lpstr>Dat thuc pham T 01 2025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cp:lastPrinted>2025-03-12T00:12:40Z</cp:lastPrinted>
  <dcterms:created xsi:type="dcterms:W3CDTF">2024-09-06T11:46:48Z</dcterms:created>
  <dcterms:modified xsi:type="dcterms:W3CDTF">2025-04-16T00:24:31Z</dcterms:modified>
</cp:coreProperties>
</file>