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AK22\Desktop\thực phẩm thầy quân\"/>
    </mc:Choice>
  </mc:AlternateContent>
  <xr:revisionPtr revIDLastSave="0" documentId="13_ncr:1_{955BCD3C-F1E0-4C6D-88E5-F9829BC2F5F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 thuc pham T 04 2025 " sheetId="16" r:id="rId1"/>
    <sheet name="Đặt công ty  T12) (2)" sheetId="14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6" l="1"/>
  <c r="C50" i="16"/>
  <c r="H44" i="16"/>
  <c r="H22" i="16"/>
  <c r="I22" i="16"/>
  <c r="H50" i="16"/>
  <c r="H42" i="16"/>
  <c r="I44" i="16"/>
  <c r="H33" i="16"/>
  <c r="I33" i="16"/>
  <c r="I27" i="16"/>
  <c r="H32" i="16"/>
  <c r="H31" i="16"/>
  <c r="H30" i="16"/>
  <c r="H29" i="16"/>
  <c r="H28" i="16"/>
  <c r="H27" i="16"/>
  <c r="C27" i="16"/>
  <c r="H26" i="16"/>
  <c r="C26" i="16"/>
  <c r="H25" i="16"/>
  <c r="C25" i="16"/>
  <c r="H24" i="16"/>
  <c r="C24" i="16"/>
  <c r="H43" i="16"/>
  <c r="H41" i="16"/>
  <c r="H40" i="16"/>
  <c r="H39" i="16"/>
  <c r="C39" i="16"/>
  <c r="H38" i="16"/>
  <c r="C38" i="16"/>
  <c r="H37" i="16"/>
  <c r="C37" i="16"/>
  <c r="H36" i="16"/>
  <c r="C36" i="16"/>
  <c r="H35" i="16"/>
  <c r="C35" i="16"/>
  <c r="H20" i="16"/>
  <c r="H21" i="16"/>
  <c r="H19" i="16"/>
  <c r="H18" i="16"/>
  <c r="H17" i="16"/>
  <c r="H16" i="16"/>
  <c r="C16" i="16"/>
  <c r="H15" i="16"/>
  <c r="C15" i="16"/>
  <c r="H14" i="16"/>
  <c r="C14" i="16"/>
  <c r="H13" i="16"/>
  <c r="C13" i="16"/>
  <c r="Q18" i="16"/>
  <c r="Q17" i="16"/>
  <c r="Q16" i="16"/>
  <c r="Q15" i="16"/>
  <c r="Q14" i="16"/>
  <c r="Q13" i="16"/>
  <c r="Q12" i="16"/>
  <c r="L12" i="16"/>
  <c r="Q11" i="16"/>
  <c r="L11" i="16"/>
  <c r="Q10" i="16"/>
  <c r="L10" i="16"/>
  <c r="Q9" i="16"/>
  <c r="L9" i="16"/>
  <c r="H11" i="16"/>
  <c r="I9" i="16"/>
  <c r="I5" i="16"/>
  <c r="I56" i="16"/>
  <c r="H54" i="16"/>
  <c r="H53" i="16"/>
  <c r="H52" i="16"/>
  <c r="H51" i="16"/>
  <c r="C51" i="16"/>
  <c r="H49" i="16"/>
  <c r="C49" i="16"/>
  <c r="H48" i="16"/>
  <c r="C48" i="16"/>
  <c r="H47" i="16"/>
  <c r="C47" i="16"/>
  <c r="H46" i="16"/>
  <c r="C46" i="16"/>
  <c r="I15" i="16"/>
  <c r="I13" i="16"/>
  <c r="H10" i="16"/>
  <c r="H9" i="16"/>
  <c r="H8" i="16"/>
  <c r="H7" i="16"/>
  <c r="C7" i="16"/>
  <c r="H6" i="16"/>
  <c r="C6" i="16"/>
  <c r="H5" i="16"/>
  <c r="C5" i="16"/>
  <c r="I4" i="16"/>
  <c r="H4" i="16"/>
  <c r="C4" i="16"/>
  <c r="I2" i="16"/>
  <c r="H106" i="16"/>
  <c r="I107" i="16"/>
  <c r="H96" i="16"/>
  <c r="I91" i="16"/>
  <c r="H90" i="16"/>
  <c r="H91" i="16"/>
  <c r="H92" i="16"/>
  <c r="H93" i="16"/>
  <c r="H94" i="16"/>
  <c r="H95" i="16"/>
  <c r="H89" i="16"/>
  <c r="H88" i="16"/>
  <c r="H105" i="16"/>
  <c r="H104" i="16"/>
  <c r="H103" i="16"/>
  <c r="H102" i="16"/>
  <c r="C102" i="16"/>
  <c r="H101" i="16"/>
  <c r="C101" i="16"/>
  <c r="H100" i="16"/>
  <c r="C100" i="16"/>
  <c r="H99" i="16"/>
  <c r="C99" i="16"/>
  <c r="H98" i="16"/>
  <c r="C98" i="16"/>
  <c r="C91" i="16"/>
  <c r="C90" i="16"/>
  <c r="C89" i="16"/>
  <c r="C88" i="16"/>
  <c r="H86" i="16"/>
  <c r="I85" i="16"/>
  <c r="H85" i="16"/>
  <c r="H84" i="16"/>
  <c r="H83" i="16"/>
  <c r="H82" i="16"/>
  <c r="H81" i="16"/>
  <c r="H80" i="16"/>
  <c r="C80" i="16"/>
  <c r="I79" i="16"/>
  <c r="H79" i="16"/>
  <c r="C79" i="16"/>
  <c r="H78" i="16"/>
  <c r="C78" i="16"/>
  <c r="I77" i="16"/>
  <c r="H77" i="16"/>
  <c r="C77" i="16"/>
  <c r="H75" i="16"/>
  <c r="H74" i="16"/>
  <c r="H73" i="16"/>
  <c r="H72" i="16"/>
  <c r="H71" i="16"/>
  <c r="C71" i="16"/>
  <c r="H70" i="16"/>
  <c r="C70" i="16"/>
  <c r="I69" i="16"/>
  <c r="H69" i="16"/>
  <c r="C69" i="16"/>
  <c r="I68" i="16"/>
  <c r="H68" i="16"/>
  <c r="C68" i="16"/>
  <c r="I66" i="16"/>
  <c r="H164" i="16"/>
  <c r="H156" i="16"/>
  <c r="I165" i="16"/>
  <c r="H158" i="16"/>
  <c r="C158" i="16"/>
  <c r="H154" i="16"/>
  <c r="I149" i="16"/>
  <c r="C149" i="16"/>
  <c r="C150" i="16"/>
  <c r="H133" i="16"/>
  <c r="H150" i="16"/>
  <c r="H23" i="16" l="1"/>
  <c r="I23" i="16" s="1"/>
  <c r="H45" i="16"/>
  <c r="I45" i="16" s="1"/>
  <c r="H34" i="16"/>
  <c r="I34" i="16" s="1"/>
  <c r="H12" i="16"/>
  <c r="I12" i="16" s="1"/>
  <c r="H76" i="16"/>
  <c r="I76" i="16" s="1"/>
  <c r="H56" i="16"/>
  <c r="H97" i="16"/>
  <c r="I94" i="16" s="1"/>
  <c r="H107" i="16"/>
  <c r="H87" i="16"/>
  <c r="I87" i="16" s="1"/>
  <c r="H144" i="16"/>
  <c r="I143" i="16"/>
  <c r="I137" i="16"/>
  <c r="H141" i="16"/>
  <c r="H135" i="16"/>
  <c r="I30" i="16" l="1"/>
  <c r="I71" i="16"/>
  <c r="I57" i="16"/>
  <c r="I108" i="16"/>
  <c r="I97" i="16"/>
  <c r="H131" i="16"/>
  <c r="I127" i="16" l="1"/>
  <c r="H163" i="16" l="1"/>
  <c r="H162" i="16"/>
  <c r="H161" i="16"/>
  <c r="H160" i="16"/>
  <c r="H159" i="16"/>
  <c r="C159" i="16"/>
  <c r="H157" i="16"/>
  <c r="C157" i="16"/>
  <c r="C156" i="16"/>
  <c r="H151" i="16"/>
  <c r="H153" i="16"/>
  <c r="H152" i="16"/>
  <c r="H149" i="16"/>
  <c r="H148" i="16"/>
  <c r="C148" i="16"/>
  <c r="H147" i="16"/>
  <c r="C147" i="16"/>
  <c r="H146" i="16"/>
  <c r="C146" i="16"/>
  <c r="H143" i="16"/>
  <c r="H142" i="16"/>
  <c r="H140" i="16"/>
  <c r="H139" i="16"/>
  <c r="H138" i="16"/>
  <c r="C138" i="16"/>
  <c r="H137" i="16"/>
  <c r="C137" i="16"/>
  <c r="H136" i="16"/>
  <c r="C136" i="16"/>
  <c r="I135" i="16"/>
  <c r="C135" i="16"/>
  <c r="H132" i="16"/>
  <c r="H130" i="16"/>
  <c r="H129" i="16"/>
  <c r="C129" i="16"/>
  <c r="H128" i="16"/>
  <c r="C128" i="16"/>
  <c r="H127" i="16"/>
  <c r="C127" i="16"/>
  <c r="H126" i="16"/>
  <c r="C126" i="16"/>
  <c r="I124" i="16"/>
  <c r="I207" i="16"/>
  <c r="H236" i="16"/>
  <c r="H216" i="16"/>
  <c r="H226" i="16"/>
  <c r="I215" i="16"/>
  <c r="H205" i="16"/>
  <c r="H235" i="16"/>
  <c r="H234" i="16"/>
  <c r="H233" i="16"/>
  <c r="H232" i="16"/>
  <c r="C232" i="16"/>
  <c r="H231" i="16"/>
  <c r="C231" i="16"/>
  <c r="H230" i="16"/>
  <c r="C230" i="16"/>
  <c r="H229" i="16"/>
  <c r="C229" i="16"/>
  <c r="H228" i="16"/>
  <c r="C228" i="16"/>
  <c r="I221" i="16"/>
  <c r="I199" i="16"/>
  <c r="H145" i="16" l="1"/>
  <c r="I145" i="16" s="1"/>
  <c r="H165" i="16"/>
  <c r="H134" i="16"/>
  <c r="I134" i="16" s="1"/>
  <c r="H155" i="16"/>
  <c r="I152" i="16" s="1"/>
  <c r="I126" i="16"/>
  <c r="H237" i="16"/>
  <c r="I237" i="16" s="1"/>
  <c r="H196" i="16"/>
  <c r="I191" i="16"/>
  <c r="H200" i="16"/>
  <c r="H201" i="16"/>
  <c r="H202" i="16"/>
  <c r="H203" i="16"/>
  <c r="H204" i="16"/>
  <c r="H199" i="16"/>
  <c r="H194" i="16"/>
  <c r="H195" i="16"/>
  <c r="H225" i="16"/>
  <c r="H224" i="16"/>
  <c r="H223" i="16"/>
  <c r="H222" i="16"/>
  <c r="H221" i="16"/>
  <c r="H220" i="16"/>
  <c r="C220" i="16"/>
  <c r="H219" i="16"/>
  <c r="C219" i="16"/>
  <c r="H218" i="16"/>
  <c r="C218" i="16"/>
  <c r="H215" i="16"/>
  <c r="H214" i="16"/>
  <c r="H213" i="16"/>
  <c r="H212" i="16"/>
  <c r="H211" i="16"/>
  <c r="H210" i="16"/>
  <c r="C210" i="16"/>
  <c r="I209" i="16"/>
  <c r="H209" i="16"/>
  <c r="C209" i="16"/>
  <c r="H208" i="16"/>
  <c r="C208" i="16"/>
  <c r="H207" i="16"/>
  <c r="C207" i="16"/>
  <c r="C201" i="16"/>
  <c r="C200" i="16"/>
  <c r="C199" i="16"/>
  <c r="H198" i="16"/>
  <c r="C198" i="16"/>
  <c r="I193" i="16"/>
  <c r="H193" i="16"/>
  <c r="H192" i="16"/>
  <c r="C192" i="16"/>
  <c r="H191" i="16"/>
  <c r="C191" i="16"/>
  <c r="J190" i="16"/>
  <c r="H190" i="16"/>
  <c r="C190" i="16"/>
  <c r="J189" i="16"/>
  <c r="H189" i="16"/>
  <c r="C189" i="16"/>
  <c r="J188" i="16"/>
  <c r="I188" i="16"/>
  <c r="H188" i="16"/>
  <c r="C188" i="16"/>
  <c r="J187" i="16"/>
  <c r="H187" i="16"/>
  <c r="C187" i="16"/>
  <c r="J186" i="16"/>
  <c r="I184" i="16"/>
  <c r="H288" i="16"/>
  <c r="H281" i="16"/>
  <c r="H298" i="16"/>
  <c r="H292" i="16"/>
  <c r="H307" i="16"/>
  <c r="H306" i="16"/>
  <c r="H305" i="16"/>
  <c r="H304" i="16"/>
  <c r="C304" i="16"/>
  <c r="H303" i="16"/>
  <c r="C303" i="16"/>
  <c r="H302" i="16"/>
  <c r="C302" i="16"/>
  <c r="H301" i="16"/>
  <c r="C301" i="16"/>
  <c r="H300" i="16"/>
  <c r="C300" i="16"/>
  <c r="H297" i="16"/>
  <c r="H296" i="16"/>
  <c r="H295" i="16"/>
  <c r="H294" i="16"/>
  <c r="H293" i="16"/>
  <c r="C292" i="16"/>
  <c r="H291" i="16"/>
  <c r="C291" i="16"/>
  <c r="H290" i="16"/>
  <c r="C290" i="16"/>
  <c r="I293" i="16"/>
  <c r="I307" i="16"/>
  <c r="I287" i="16"/>
  <c r="H287" i="16"/>
  <c r="H286" i="16"/>
  <c r="H285" i="16"/>
  <c r="H284" i="16"/>
  <c r="H283" i="16"/>
  <c r="H282" i="16"/>
  <c r="C282" i="16"/>
  <c r="C281" i="16"/>
  <c r="H280" i="16"/>
  <c r="C280" i="16"/>
  <c r="H279" i="16"/>
  <c r="C279" i="16"/>
  <c r="H277" i="16"/>
  <c r="H276" i="16"/>
  <c r="H275" i="16"/>
  <c r="H274" i="16"/>
  <c r="H273" i="16"/>
  <c r="C273" i="16"/>
  <c r="H272" i="16"/>
  <c r="C272" i="16"/>
  <c r="H271" i="16"/>
  <c r="C271" i="16"/>
  <c r="H270" i="16"/>
  <c r="C270" i="16"/>
  <c r="H269" i="16"/>
  <c r="C269" i="16"/>
  <c r="H267" i="16"/>
  <c r="I270" i="16"/>
  <c r="I260" i="16"/>
  <c r="I265" i="16"/>
  <c r="I263" i="16"/>
  <c r="I129" i="16" l="1"/>
  <c r="I155" i="16"/>
  <c r="H206" i="16"/>
  <c r="I206" i="16" s="1"/>
  <c r="H227" i="16"/>
  <c r="I227" i="16" s="1"/>
  <c r="H197" i="16"/>
  <c r="I197" i="16" s="1"/>
  <c r="H217" i="16"/>
  <c r="I217" i="16" s="1"/>
  <c r="H299" i="16"/>
  <c r="I299" i="16" s="1"/>
  <c r="I224" i="16" l="1"/>
  <c r="I201" i="16"/>
  <c r="I192" i="16"/>
  <c r="I189" i="16"/>
  <c r="I198" i="16"/>
  <c r="H265" i="16"/>
  <c r="H264" i="16"/>
  <c r="C264" i="16"/>
  <c r="H263" i="16"/>
  <c r="C263" i="16"/>
  <c r="H262" i="16"/>
  <c r="C262" i="16"/>
  <c r="H261" i="16"/>
  <c r="C261" i="16"/>
  <c r="H260" i="16"/>
  <c r="C260" i="16"/>
  <c r="H259" i="16"/>
  <c r="C259" i="16"/>
  <c r="I281" i="16"/>
  <c r="H266" i="16"/>
  <c r="J262" i="16"/>
  <c r="J261" i="16"/>
  <c r="J260" i="16"/>
  <c r="J259" i="16"/>
  <c r="J258" i="16"/>
  <c r="I256" i="16"/>
  <c r="H398" i="16"/>
  <c r="H397" i="16"/>
  <c r="H391" i="16"/>
  <c r="H388" i="16"/>
  <c r="H396" i="16"/>
  <c r="H387" i="16"/>
  <c r="H386" i="16"/>
  <c r="H377" i="16"/>
  <c r="H381" i="16"/>
  <c r="C381" i="16"/>
  <c r="I382" i="16"/>
  <c r="H395" i="16"/>
  <c r="H394" i="16"/>
  <c r="H393" i="16"/>
  <c r="H392" i="16"/>
  <c r="C392" i="16"/>
  <c r="C391" i="16"/>
  <c r="H390" i="16"/>
  <c r="C390" i="16"/>
  <c r="H385" i="16"/>
  <c r="H384" i="16"/>
  <c r="H383" i="16"/>
  <c r="H382" i="16"/>
  <c r="C382" i="16"/>
  <c r="H380" i="16"/>
  <c r="C380" i="16"/>
  <c r="H379" i="16"/>
  <c r="C379" i="16"/>
  <c r="H375" i="16"/>
  <c r="H376" i="16"/>
  <c r="I370" i="16"/>
  <c r="H374" i="16"/>
  <c r="H373" i="16"/>
  <c r="H372" i="16"/>
  <c r="H371" i="16"/>
  <c r="H370" i="16"/>
  <c r="C370" i="16"/>
  <c r="H369" i="16"/>
  <c r="C369" i="16"/>
  <c r="H368" i="16"/>
  <c r="C368" i="16"/>
  <c r="H366" i="16"/>
  <c r="I360" i="16"/>
  <c r="H365" i="16"/>
  <c r="H364" i="16"/>
  <c r="H363" i="16"/>
  <c r="C363" i="16"/>
  <c r="H362" i="16"/>
  <c r="C362" i="16"/>
  <c r="H361" i="16"/>
  <c r="C361" i="16"/>
  <c r="H360" i="16"/>
  <c r="C360" i="16"/>
  <c r="H359" i="16"/>
  <c r="C359" i="16"/>
  <c r="I296" i="16" l="1"/>
  <c r="H289" i="16"/>
  <c r="I289" i="16" s="1"/>
  <c r="H308" i="16"/>
  <c r="H278" i="16"/>
  <c r="I272" i="16" s="1"/>
  <c r="H268" i="16"/>
  <c r="I269" i="16" s="1"/>
  <c r="H389" i="16"/>
  <c r="H378" i="16"/>
  <c r="H367" i="16"/>
  <c r="I308" i="16" l="1"/>
  <c r="I278" i="16"/>
  <c r="I264" i="16"/>
  <c r="I268" i="16"/>
  <c r="I261" i="16"/>
  <c r="H357" i="16"/>
  <c r="I350" i="16"/>
  <c r="H353" i="16"/>
  <c r="H354" i="16"/>
  <c r="H355" i="16"/>
  <c r="H356" i="16"/>
  <c r="C353" i="16"/>
  <c r="H352" i="16"/>
  <c r="C352" i="16"/>
  <c r="H351" i="16"/>
  <c r="C351" i="16"/>
  <c r="H350" i="16"/>
  <c r="C350" i="16"/>
  <c r="H349" i="16"/>
  <c r="C349" i="16"/>
  <c r="H358" i="16" l="1"/>
  <c r="I358" i="16" s="1"/>
  <c r="I375" i="16" l="1"/>
  <c r="I353" i="16"/>
  <c r="J352" i="16"/>
  <c r="J351" i="16"/>
  <c r="J350" i="16"/>
  <c r="J349" i="16"/>
  <c r="J348" i="16"/>
  <c r="I346" i="16"/>
  <c r="H399" i="16" l="1"/>
  <c r="I385" i="16"/>
  <c r="I378" i="16"/>
  <c r="I367" i="16"/>
  <c r="I399" i="16" l="1"/>
  <c r="I389" i="16"/>
  <c r="I351" i="16"/>
  <c r="I359" i="16"/>
  <c r="I354" i="16"/>
  <c r="I362" i="16"/>
  <c r="H772" i="14" l="1"/>
  <c r="H771" i="14"/>
  <c r="C771" i="14"/>
  <c r="H770" i="14"/>
  <c r="C770" i="14"/>
  <c r="H769" i="14"/>
  <c r="C769" i="14"/>
  <c r="H768" i="14"/>
  <c r="C768" i="14"/>
  <c r="H767" i="14"/>
  <c r="C767" i="14"/>
  <c r="H766" i="14"/>
  <c r="H773" i="14" s="1"/>
  <c r="C766" i="14"/>
  <c r="H765" i="14"/>
  <c r="C765" i="14"/>
  <c r="H763" i="14"/>
  <c r="H762" i="14"/>
  <c r="H761" i="14"/>
  <c r="H760" i="14"/>
  <c r="C760" i="14"/>
  <c r="H759" i="14"/>
  <c r="C759" i="14"/>
  <c r="H758" i="14"/>
  <c r="C758" i="14"/>
  <c r="H757" i="14"/>
  <c r="C757" i="14"/>
  <c r="H756" i="14"/>
  <c r="C756" i="14"/>
  <c r="H755" i="14"/>
  <c r="C755" i="14"/>
  <c r="H753" i="14"/>
  <c r="H752" i="14"/>
  <c r="H751" i="14"/>
  <c r="H750" i="14"/>
  <c r="C750" i="14"/>
  <c r="H749" i="14"/>
  <c r="C749" i="14"/>
  <c r="H748" i="14"/>
  <c r="C748" i="14"/>
  <c r="H747" i="14"/>
  <c r="C747" i="14"/>
  <c r="H746" i="14"/>
  <c r="C746" i="14"/>
  <c r="H745" i="14"/>
  <c r="C745" i="14"/>
  <c r="H743" i="14"/>
  <c r="H742" i="14"/>
  <c r="H741" i="14"/>
  <c r="H740" i="14"/>
  <c r="C740" i="14"/>
  <c r="H739" i="14"/>
  <c r="C739" i="14"/>
  <c r="H738" i="14"/>
  <c r="C738" i="14"/>
  <c r="H737" i="14"/>
  <c r="C737" i="14"/>
  <c r="H736" i="14"/>
  <c r="C736" i="14"/>
  <c r="H734" i="14"/>
  <c r="H733" i="14"/>
  <c r="H732" i="14"/>
  <c r="H731" i="14"/>
  <c r="H730" i="14"/>
  <c r="H729" i="14"/>
  <c r="H728" i="14"/>
  <c r="H727" i="14"/>
  <c r="H701" i="14"/>
  <c r="C701" i="14"/>
  <c r="H700" i="14"/>
  <c r="C700" i="14"/>
  <c r="H699" i="14"/>
  <c r="C699" i="14"/>
  <c r="H698" i="14"/>
  <c r="C698" i="14"/>
  <c r="H697" i="14"/>
  <c r="C697" i="14"/>
  <c r="H696" i="14"/>
  <c r="C696" i="14"/>
  <c r="H695" i="14"/>
  <c r="C695" i="14"/>
  <c r="H692" i="14"/>
  <c r="H691" i="14"/>
  <c r="H690" i="14"/>
  <c r="H689" i="14"/>
  <c r="H688" i="14"/>
  <c r="H687" i="14"/>
  <c r="H686" i="14"/>
  <c r="H685" i="14"/>
  <c r="H684" i="14"/>
  <c r="H683" i="14"/>
  <c r="H681" i="14"/>
  <c r="H680" i="14"/>
  <c r="H679" i="14"/>
  <c r="H678" i="14"/>
  <c r="C678" i="14"/>
  <c r="H677" i="14"/>
  <c r="C677" i="14"/>
  <c r="H676" i="14"/>
  <c r="C676" i="14"/>
  <c r="H675" i="14"/>
  <c r="C675" i="14"/>
  <c r="H674" i="14"/>
  <c r="C674" i="14"/>
  <c r="H673" i="14"/>
  <c r="C673" i="14"/>
  <c r="H671" i="14"/>
  <c r="H670" i="14"/>
  <c r="H669" i="14"/>
  <c r="C669" i="14"/>
  <c r="H668" i="14"/>
  <c r="C668" i="14"/>
  <c r="H667" i="14"/>
  <c r="C667" i="14"/>
  <c r="H666" i="14"/>
  <c r="C666" i="14"/>
  <c r="H665" i="14"/>
  <c r="C665" i="14"/>
  <c r="H664" i="14"/>
  <c r="C664" i="14"/>
  <c r="H662" i="14"/>
  <c r="H661" i="14"/>
  <c r="H660" i="14"/>
  <c r="C660" i="14"/>
  <c r="H659" i="14"/>
  <c r="C659" i="14"/>
  <c r="H658" i="14"/>
  <c r="C658" i="14"/>
  <c r="H657" i="14"/>
  <c r="C657" i="14"/>
  <c r="H656" i="14"/>
  <c r="C656" i="14"/>
  <c r="H632" i="14"/>
  <c r="H631" i="14"/>
  <c r="C631" i="14"/>
  <c r="H630" i="14"/>
  <c r="C630" i="14"/>
  <c r="H629" i="14"/>
  <c r="C629" i="14"/>
  <c r="H628" i="14"/>
  <c r="C628" i="14"/>
  <c r="H627" i="14"/>
  <c r="C627" i="14"/>
  <c r="H626" i="14"/>
  <c r="C626" i="14"/>
  <c r="H625" i="14"/>
  <c r="C625" i="14"/>
  <c r="H623" i="14"/>
  <c r="H622" i="14"/>
  <c r="H621" i="14"/>
  <c r="H620" i="14"/>
  <c r="C620" i="14"/>
  <c r="H619" i="14"/>
  <c r="C619" i="14"/>
  <c r="H618" i="14"/>
  <c r="C618" i="14"/>
  <c r="H617" i="14"/>
  <c r="C617" i="14"/>
  <c r="H616" i="14"/>
  <c r="C616" i="14"/>
  <c r="H615" i="14"/>
  <c r="C615" i="14"/>
  <c r="H614" i="14"/>
  <c r="C614" i="14"/>
  <c r="H612" i="14"/>
  <c r="H611" i="14"/>
  <c r="H610" i="14"/>
  <c r="H609" i="14"/>
  <c r="C609" i="14"/>
  <c r="H608" i="14"/>
  <c r="C608" i="14"/>
  <c r="H607" i="14"/>
  <c r="C607" i="14"/>
  <c r="H606" i="14"/>
  <c r="C606" i="14"/>
  <c r="H605" i="14"/>
  <c r="C605" i="14"/>
  <c r="H603" i="14"/>
  <c r="H602" i="14"/>
  <c r="H601" i="14"/>
  <c r="H600" i="14"/>
  <c r="C600" i="14"/>
  <c r="H599" i="14"/>
  <c r="C599" i="14"/>
  <c r="H598" i="14"/>
  <c r="C598" i="14"/>
  <c r="H597" i="14"/>
  <c r="C597" i="14"/>
  <c r="H596" i="14"/>
  <c r="C596" i="14"/>
  <c r="H594" i="14"/>
  <c r="H593" i="14"/>
  <c r="H592" i="14"/>
  <c r="H591" i="14"/>
  <c r="H590" i="14"/>
  <c r="H589" i="14"/>
  <c r="H588" i="14"/>
  <c r="H587" i="14"/>
  <c r="H324" i="14"/>
  <c r="C324" i="14"/>
  <c r="H323" i="14"/>
  <c r="H322" i="14"/>
  <c r="H321" i="14"/>
  <c r="H320" i="14"/>
  <c r="C320" i="14"/>
  <c r="H319" i="14"/>
  <c r="C319" i="14"/>
  <c r="H318" i="14"/>
  <c r="C318" i="14"/>
  <c r="H317" i="14"/>
  <c r="C317" i="14"/>
  <c r="H315" i="14"/>
  <c r="H314" i="14"/>
  <c r="H313" i="14"/>
  <c r="H312" i="14"/>
  <c r="C312" i="14"/>
  <c r="H311" i="14"/>
  <c r="C311" i="14"/>
  <c r="H310" i="14"/>
  <c r="C310" i="14"/>
  <c r="H309" i="14"/>
  <c r="C309" i="14"/>
  <c r="H308" i="14"/>
  <c r="C308" i="14"/>
  <c r="H307" i="14"/>
  <c r="C307" i="14"/>
  <c r="H306" i="14"/>
  <c r="C306" i="14"/>
  <c r="H303" i="14"/>
  <c r="H302" i="14"/>
  <c r="H301" i="14"/>
  <c r="C301" i="14"/>
  <c r="H300" i="14"/>
  <c r="C300" i="14"/>
  <c r="H299" i="14"/>
  <c r="C299" i="14"/>
  <c r="H298" i="14"/>
  <c r="C298" i="14"/>
  <c r="H297" i="14"/>
  <c r="C297" i="14"/>
  <c r="H295" i="14"/>
  <c r="H294" i="14"/>
  <c r="H293" i="14"/>
  <c r="C293" i="14"/>
  <c r="H292" i="14"/>
  <c r="C292" i="14"/>
  <c r="H291" i="14"/>
  <c r="C291" i="14"/>
  <c r="H290" i="14"/>
  <c r="C290" i="14"/>
  <c r="H289" i="14"/>
  <c r="C289" i="14"/>
  <c r="H288" i="14"/>
  <c r="C288" i="14"/>
  <c r="H286" i="14"/>
  <c r="H285" i="14"/>
  <c r="H284" i="14"/>
  <c r="H283" i="14"/>
  <c r="C283" i="14"/>
  <c r="H282" i="14"/>
  <c r="C282" i="14"/>
  <c r="H281" i="14"/>
  <c r="C281" i="14"/>
  <c r="H280" i="14"/>
  <c r="C280" i="14"/>
  <c r="H279" i="14"/>
  <c r="C279" i="14"/>
  <c r="H278" i="14"/>
  <c r="C278" i="14"/>
  <c r="H232" i="14"/>
  <c r="H231" i="14"/>
  <c r="H230" i="14"/>
  <c r="C230" i="14"/>
  <c r="H229" i="14"/>
  <c r="C229" i="14"/>
  <c r="H228" i="14"/>
  <c r="C228" i="14"/>
  <c r="H227" i="14"/>
  <c r="C227" i="14"/>
  <c r="H226" i="14"/>
  <c r="C226" i="14"/>
  <c r="H224" i="14"/>
  <c r="H223" i="14"/>
  <c r="H222" i="14"/>
  <c r="C222" i="14"/>
  <c r="H221" i="14"/>
  <c r="C221" i="14"/>
  <c r="H220" i="14"/>
  <c r="C220" i="14"/>
  <c r="H219" i="14"/>
  <c r="C219" i="14"/>
  <c r="H218" i="14"/>
  <c r="C218" i="14"/>
  <c r="H217" i="14"/>
  <c r="C217" i="14"/>
  <c r="H215" i="14"/>
  <c r="H214" i="14"/>
  <c r="H213" i="14"/>
  <c r="H212" i="14"/>
  <c r="C212" i="14"/>
  <c r="H211" i="14"/>
  <c r="C211" i="14"/>
  <c r="H210" i="14"/>
  <c r="C210" i="14"/>
  <c r="H209" i="14"/>
  <c r="C209" i="14"/>
  <c r="H208" i="14"/>
  <c r="C208" i="14"/>
  <c r="H207" i="14"/>
  <c r="C207" i="14"/>
  <c r="H205" i="14"/>
  <c r="H204" i="14"/>
  <c r="H203" i="14"/>
  <c r="H202" i="14"/>
  <c r="C202" i="14"/>
  <c r="H201" i="14"/>
  <c r="C201" i="14"/>
  <c r="H200" i="14"/>
  <c r="C200" i="14"/>
  <c r="H199" i="14"/>
  <c r="C199" i="14"/>
  <c r="H198" i="14"/>
  <c r="C198" i="14"/>
  <c r="H197" i="14"/>
  <c r="C197" i="14"/>
  <c r="H196" i="14"/>
  <c r="C196" i="14"/>
  <c r="H194" i="14"/>
  <c r="H193" i="14"/>
  <c r="H192" i="14"/>
  <c r="C192" i="14"/>
  <c r="H191" i="14"/>
  <c r="C191" i="14"/>
  <c r="H190" i="14"/>
  <c r="C190" i="14"/>
  <c r="H189" i="14"/>
  <c r="C189" i="14"/>
  <c r="H188" i="14"/>
  <c r="C188" i="14"/>
  <c r="H187" i="14"/>
  <c r="C187" i="14"/>
  <c r="H170" i="14"/>
  <c r="H169" i="14"/>
  <c r="H168" i="14"/>
  <c r="H167" i="14"/>
  <c r="C167" i="14"/>
  <c r="H166" i="14"/>
  <c r="C166" i="14"/>
  <c r="H165" i="14"/>
  <c r="C165" i="14"/>
  <c r="H164" i="14"/>
  <c r="C164" i="14"/>
  <c r="H163" i="14"/>
  <c r="C163" i="14"/>
  <c r="H160" i="14"/>
  <c r="H159" i="14"/>
  <c r="C159" i="14"/>
  <c r="H158" i="14"/>
  <c r="C158" i="14"/>
  <c r="H157" i="14"/>
  <c r="C157" i="14"/>
  <c r="H156" i="14"/>
  <c r="C156" i="14"/>
  <c r="H155" i="14"/>
  <c r="C155" i="14"/>
  <c r="H154" i="14"/>
  <c r="C154" i="14"/>
  <c r="H152" i="14"/>
  <c r="H150" i="14"/>
  <c r="H149" i="14"/>
  <c r="C149" i="14"/>
  <c r="H148" i="14"/>
  <c r="C148" i="14"/>
  <c r="H147" i="14"/>
  <c r="C147" i="14"/>
  <c r="H146" i="14"/>
  <c r="C146" i="14"/>
  <c r="H144" i="14"/>
  <c r="H143" i="14"/>
  <c r="H142" i="14"/>
  <c r="C142" i="14"/>
  <c r="H141" i="14"/>
  <c r="C141" i="14"/>
  <c r="H140" i="14"/>
  <c r="C140" i="14"/>
  <c r="H139" i="14"/>
  <c r="C139" i="14"/>
  <c r="H138" i="14"/>
  <c r="C138" i="14"/>
  <c r="H137" i="14"/>
  <c r="C137" i="14"/>
  <c r="H135" i="14"/>
  <c r="H134" i="14"/>
  <c r="H133" i="14"/>
  <c r="H132" i="14"/>
  <c r="C132" i="14"/>
  <c r="H131" i="14"/>
  <c r="C131" i="14"/>
  <c r="H130" i="14"/>
  <c r="C130" i="14"/>
  <c r="H129" i="14"/>
  <c r="C129" i="14"/>
  <c r="H128" i="14"/>
  <c r="C128" i="14"/>
  <c r="H127" i="14"/>
  <c r="C127" i="14"/>
  <c r="H113" i="14"/>
  <c r="H112" i="14"/>
  <c r="H111" i="14"/>
  <c r="H110" i="14"/>
  <c r="C110" i="14"/>
  <c r="H109" i="14"/>
  <c r="C109" i="14"/>
  <c r="H108" i="14"/>
  <c r="C108" i="14"/>
  <c r="H107" i="14"/>
  <c r="C107" i="14"/>
  <c r="H106" i="14"/>
  <c r="C106" i="14"/>
  <c r="H103" i="14"/>
  <c r="H102" i="14"/>
  <c r="C102" i="14"/>
  <c r="H101" i="14"/>
  <c r="C101" i="14"/>
  <c r="H100" i="14"/>
  <c r="C100" i="14"/>
  <c r="H99" i="14"/>
  <c r="C99" i="14"/>
  <c r="H98" i="14"/>
  <c r="C98" i="14"/>
  <c r="H97" i="14"/>
  <c r="C97" i="14"/>
  <c r="H95" i="14"/>
  <c r="C95" i="14"/>
  <c r="H94" i="14"/>
  <c r="H93" i="14"/>
  <c r="H92" i="14"/>
  <c r="C92" i="14"/>
  <c r="H91" i="14"/>
  <c r="C91" i="14"/>
  <c r="H90" i="14"/>
  <c r="C90" i="14"/>
  <c r="H89" i="14"/>
  <c r="C89" i="14"/>
  <c r="H88" i="14"/>
  <c r="C88" i="14"/>
  <c r="H86" i="14"/>
  <c r="H85" i="14"/>
  <c r="C85" i="14"/>
  <c r="H84" i="14"/>
  <c r="C84" i="14"/>
  <c r="H83" i="14"/>
  <c r="C83" i="14"/>
  <c r="H82" i="14"/>
  <c r="C82" i="14"/>
  <c r="H81" i="14"/>
  <c r="C81" i="14"/>
  <c r="H80" i="14"/>
  <c r="C80" i="14"/>
  <c r="H78" i="14"/>
  <c r="H77" i="14"/>
  <c r="H76" i="14"/>
  <c r="H75" i="14"/>
  <c r="C75" i="14"/>
  <c r="H74" i="14"/>
  <c r="C74" i="14"/>
  <c r="H73" i="14"/>
  <c r="C73" i="14"/>
  <c r="H72" i="14"/>
  <c r="C72" i="14"/>
  <c r="H71" i="14"/>
  <c r="C71" i="14"/>
  <c r="H70" i="14"/>
  <c r="C70" i="14"/>
  <c r="H37" i="14"/>
  <c r="H36" i="14"/>
  <c r="H35" i="14"/>
  <c r="H34" i="14"/>
  <c r="C34" i="14"/>
  <c r="H33" i="14"/>
  <c r="C33" i="14"/>
  <c r="H32" i="14"/>
  <c r="C32" i="14"/>
  <c r="H29" i="14"/>
  <c r="H28" i="14"/>
  <c r="H27" i="14"/>
  <c r="H26" i="14"/>
  <c r="H25" i="14"/>
  <c r="H22" i="14"/>
  <c r="H21" i="14"/>
  <c r="H20" i="14"/>
  <c r="H19" i="14"/>
  <c r="H18" i="14"/>
  <c r="H17" i="14"/>
  <c r="C17" i="14"/>
  <c r="H16" i="14"/>
  <c r="C16" i="14"/>
  <c r="H15" i="14"/>
  <c r="C15" i="14"/>
  <c r="H13" i="14"/>
  <c r="H12" i="14"/>
  <c r="H11" i="14"/>
  <c r="H10" i="14"/>
  <c r="H9" i="14"/>
  <c r="C9" i="14"/>
  <c r="H8" i="14"/>
  <c r="C8" i="14"/>
  <c r="H7" i="14"/>
  <c r="C7" i="14"/>
  <c r="H6" i="14"/>
  <c r="C6" i="14"/>
  <c r="H5" i="14"/>
  <c r="C5" i="14"/>
  <c r="H702" i="14" l="1"/>
  <c r="H604" i="14"/>
  <c r="H663" i="14"/>
  <c r="H672" i="14"/>
  <c r="H682" i="14"/>
  <c r="H694" i="14"/>
  <c r="H735" i="14"/>
  <c r="H754" i="14"/>
  <c r="H87" i="14"/>
  <c r="H114" i="14"/>
  <c r="H633" i="14"/>
  <c r="H764" i="14"/>
  <c r="H39" i="14"/>
  <c r="H79" i="14"/>
  <c r="H145" i="14"/>
  <c r="H162" i="14"/>
  <c r="H206" i="14"/>
  <c r="H225" i="14"/>
  <c r="H325" i="14"/>
  <c r="H14" i="14"/>
  <c r="H24" i="14"/>
  <c r="H31" i="14"/>
  <c r="H136" i="14"/>
  <c r="H171" i="14"/>
  <c r="H216" i="14"/>
  <c r="H296" i="14"/>
  <c r="H305" i="14"/>
  <c r="H316" i="14"/>
  <c r="H595" i="14"/>
  <c r="H624" i="14"/>
  <c r="H744" i="14"/>
  <c r="H96" i="14"/>
  <c r="H105" i="14"/>
  <c r="H153" i="14"/>
  <c r="H195" i="14"/>
  <c r="H234" i="14"/>
  <c r="H287" i="14"/>
  <c r="H613" i="14"/>
</calcChain>
</file>

<file path=xl/sharedStrings.xml><?xml version="1.0" encoding="utf-8"?>
<sst xmlns="http://schemas.openxmlformats.org/spreadsheetml/2006/main" count="1650" uniqueCount="231">
  <si>
    <t>TRƯỜNG TIỂU HỌC QUANG MINH</t>
  </si>
  <si>
    <t>Kg</t>
  </si>
  <si>
    <t>Cái</t>
  </si>
  <si>
    <t>kg</t>
  </si>
  <si>
    <t>ĐVT</t>
  </si>
  <si>
    <t xml:space="preserve">Thịt xay </t>
  </si>
  <si>
    <t xml:space="preserve">Đậu rán </t>
  </si>
  <si>
    <t>Dầu hào Magi</t>
  </si>
  <si>
    <t xml:space="preserve">Bột chiên giòn </t>
  </si>
  <si>
    <t>Cá rô phi phi lê</t>
  </si>
  <si>
    <t xml:space="preserve">Gạo BC chuẩn </t>
  </si>
  <si>
    <t>Hành khô</t>
  </si>
  <si>
    <t xml:space="preserve">Tép </t>
  </si>
  <si>
    <t>Rau mồng tơi</t>
  </si>
  <si>
    <t>THỨ</t>
  </si>
  <si>
    <t xml:space="preserve">TÊN THỰC PHẨM </t>
  </si>
  <si>
    <t>ĐỊNH LƯỢNG(gr)</t>
  </si>
  <si>
    <t>SỐ HS</t>
  </si>
  <si>
    <t>SL</t>
  </si>
  <si>
    <t>ĐƠN GIÁ</t>
  </si>
  <si>
    <t>THÀNH TIỀN</t>
  </si>
  <si>
    <t>Gạo BC</t>
  </si>
  <si>
    <t>8</t>
  </si>
  <si>
    <t xml:space="preserve">Thịt lợn sấn </t>
  </si>
  <si>
    <t>Gia vị ( dàu ăn, nước mắm, mỳ chính…)</t>
  </si>
  <si>
    <t>1</t>
  </si>
  <si>
    <t xml:space="preserve">T/M NHÀ TRƯỜNG </t>
  </si>
  <si>
    <t xml:space="preserve">NGƯỜI THEO DÕI </t>
  </si>
  <si>
    <t>BẾP TRƯỞNG</t>
  </si>
  <si>
    <t>Ngô ngọt sạch vỏ</t>
  </si>
  <si>
    <t>27</t>
  </si>
  <si>
    <t xml:space="preserve">Nấm hương </t>
  </si>
  <si>
    <t>0,7</t>
  </si>
  <si>
    <t>Trứng vịt</t>
  </si>
  <si>
    <t>8,2</t>
  </si>
  <si>
    <t xml:space="preserve">Canh thịt băm bí xanh </t>
  </si>
  <si>
    <t>Hành lá</t>
  </si>
  <si>
    <t xml:space="preserve">Mọc </t>
  </si>
  <si>
    <t xml:space="preserve">Đậu trắng </t>
  </si>
  <si>
    <t xml:space="preserve">Cà chua </t>
  </si>
  <si>
    <t>Tép</t>
  </si>
  <si>
    <t>0,1</t>
  </si>
  <si>
    <t>6</t>
  </si>
  <si>
    <t>3</t>
  </si>
  <si>
    <t>Tổm biển ( loại 90-100)</t>
  </si>
  <si>
    <t>Đậu cove</t>
  </si>
  <si>
    <t xml:space="preserve"> Hành lá</t>
  </si>
  <si>
    <t>Giò lợn</t>
  </si>
  <si>
    <t>Ức gà CN không xương</t>
  </si>
  <si>
    <t>10,1</t>
  </si>
  <si>
    <t>Hành  lá</t>
  </si>
  <si>
    <t>BẢNG ĐẶT THỰC PHẨM( THỊT RA, CỦ) HÀNG NGÀY</t>
  </si>
  <si>
    <t>0,2</t>
  </si>
  <si>
    <t>Hành lá, rau thơm</t>
  </si>
  <si>
    <t>NHÀ BẾP</t>
  </si>
  <si>
    <t>27,1</t>
  </si>
  <si>
    <t>14,7</t>
  </si>
  <si>
    <t>11,6</t>
  </si>
  <si>
    <t xml:space="preserve">Chả lợn </t>
  </si>
  <si>
    <t xml:space="preserve">Khoai tây </t>
  </si>
  <si>
    <t>27,2</t>
  </si>
  <si>
    <t>hành khô</t>
  </si>
  <si>
    <t>hành lá</t>
  </si>
  <si>
    <t>5</t>
  </si>
  <si>
    <t>14</t>
  </si>
  <si>
    <t>Canh thịt băm rau bầu</t>
  </si>
  <si>
    <t>11,5</t>
  </si>
  <si>
    <t>6,2</t>
  </si>
  <si>
    <t xml:space="preserve"> Gia vị ( hành lá )</t>
  </si>
  <si>
    <t xml:space="preserve"> Gia vị (hành khô)</t>
  </si>
  <si>
    <t xml:space="preserve"> Bí xanh </t>
  </si>
  <si>
    <t xml:space="preserve">Xương ống </t>
  </si>
  <si>
    <t xml:space="preserve"> bí đỏ</t>
  </si>
  <si>
    <t>13</t>
  </si>
  <si>
    <t>Tỏi khô</t>
  </si>
  <si>
    <t>Rau thơm</t>
  </si>
  <si>
    <t xml:space="preserve">  rau cải</t>
  </si>
  <si>
    <t xml:space="preserve"> Gia vị( hành khô )</t>
  </si>
  <si>
    <t xml:space="preserve"> bí xanh </t>
  </si>
  <si>
    <t>Từ ngày 12/11 đến ngày 15/11</t>
  </si>
  <si>
    <t>Thịt lợn sấn (mông, vai, thăn)</t>
  </si>
  <si>
    <t>5,8</t>
  </si>
  <si>
    <t>14,8</t>
  </si>
  <si>
    <t>26,9</t>
  </si>
  <si>
    <t>15</t>
  </si>
  <si>
    <t>8,3</t>
  </si>
  <si>
    <t>Bầu</t>
  </si>
  <si>
    <t>Từ ngày 18/11 đến ngày 22/11</t>
  </si>
  <si>
    <t>16</t>
  </si>
  <si>
    <t xml:space="preserve"> Gia vị  hành khô</t>
  </si>
  <si>
    <t xml:space="preserve"> Gia vị Hành lá</t>
  </si>
  <si>
    <t>Rau thơm, hành lá</t>
  </si>
  <si>
    <t>Thịt lợn sấn ( Mông, vai, thăn)</t>
  </si>
  <si>
    <t xml:space="preserve"> Canh  rau cải</t>
  </si>
  <si>
    <t xml:space="preserve">Canh  bí xanh </t>
  </si>
  <si>
    <t>14,3</t>
  </si>
  <si>
    <t>Từ ngày 25/11 đến ngày 29/11</t>
  </si>
  <si>
    <t>7,2</t>
  </si>
  <si>
    <t>11,2</t>
  </si>
  <si>
    <t>6,1</t>
  </si>
  <si>
    <t>27,8</t>
  </si>
  <si>
    <t>12</t>
  </si>
  <si>
    <t>14,4</t>
  </si>
  <si>
    <t>6,3</t>
  </si>
  <si>
    <t>8,7</t>
  </si>
  <si>
    <t>15,3</t>
  </si>
  <si>
    <t>Từ ngày 02/12đến ngày 06/12</t>
  </si>
  <si>
    <t>Hành Khô</t>
  </si>
  <si>
    <t xml:space="preserve"> Rau bầu</t>
  </si>
  <si>
    <t>5,6</t>
  </si>
  <si>
    <t>Rau  bầu</t>
  </si>
  <si>
    <t>Rau cải</t>
  </si>
  <si>
    <t>27,7</t>
  </si>
  <si>
    <t>Từ ngày 09/12đến ngày 13/12</t>
  </si>
  <si>
    <t>Rau mùi tàu</t>
  </si>
  <si>
    <t>15,2</t>
  </si>
  <si>
    <t>8,8</t>
  </si>
  <si>
    <t>7,1</t>
  </si>
  <si>
    <t>Từ ngày 16/12đến ngày 20/12/2024</t>
  </si>
  <si>
    <t>16,3</t>
  </si>
  <si>
    <t xml:space="preserve">Thịt gà CN bỏ đầu chân cổ cánh </t>
  </si>
  <si>
    <t xml:space="preserve">Trứng vịt </t>
  </si>
  <si>
    <t>7</t>
  </si>
  <si>
    <t xml:space="preserve">  T2
23/12</t>
  </si>
  <si>
    <t xml:space="preserve">  T3
24/12</t>
  </si>
  <si>
    <t xml:space="preserve">  T4
25/12</t>
  </si>
  <si>
    <t xml:space="preserve">  T5
26/12</t>
  </si>
  <si>
    <t xml:space="preserve">  T6
27/12</t>
  </si>
  <si>
    <t>Từ ngày 23/12đến ngày 27/12/2024</t>
  </si>
  <si>
    <t>7,4</t>
  </si>
  <si>
    <t xml:space="preserve">  T2
30/12</t>
  </si>
  <si>
    <t xml:space="preserve">  T3
31/12</t>
  </si>
  <si>
    <t xml:space="preserve">  T6
03/01  /2025</t>
  </si>
  <si>
    <t>27,6</t>
  </si>
  <si>
    <t>Chả lợn</t>
  </si>
  <si>
    <t>9</t>
  </si>
  <si>
    <t>13,8</t>
  </si>
  <si>
    <t xml:space="preserve">  T5
02/01  /2025</t>
  </si>
  <si>
    <t>7,9</t>
  </si>
  <si>
    <t>Từ ngày 30/12/2024 đến ngày 03/01/2025</t>
  </si>
  <si>
    <t xml:space="preserve">Canh bí xanh </t>
  </si>
  <si>
    <t>7,3</t>
  </si>
  <si>
    <t>Thịt xay</t>
  </si>
  <si>
    <t>Canh su hào</t>
  </si>
  <si>
    <t>27,5</t>
  </si>
  <si>
    <t>BẢNG ĐỊNH LƯỢNG THỰC PHẨM SUẤT ĂN BÁN TRÚ THÁNG 02/2025</t>
  </si>
  <si>
    <t>Cá rô phi lê</t>
  </si>
  <si>
    <t>131</t>
  </si>
  <si>
    <t>Rầu hào Magi350ml</t>
  </si>
  <si>
    <t>Chai</t>
  </si>
  <si>
    <t>2</t>
  </si>
  <si>
    <t>Bột chiên ròn</t>
  </si>
  <si>
    <t xml:space="preserve">Bí đao xanh </t>
  </si>
  <si>
    <t>5,1</t>
  </si>
  <si>
    <t>12,3</t>
  </si>
  <si>
    <t>18,3</t>
  </si>
  <si>
    <t>5,3</t>
  </si>
  <si>
    <t>Từ ngày 03/03 đến ngày 07/03/2025</t>
  </si>
  <si>
    <t xml:space="preserve">  T2
03/03</t>
  </si>
  <si>
    <t xml:space="preserve">  T3
04/03</t>
  </si>
  <si>
    <t xml:space="preserve">  T4
05/03</t>
  </si>
  <si>
    <t xml:space="preserve">  T5
06/03</t>
  </si>
  <si>
    <t>T6 07/03</t>
  </si>
  <si>
    <t>5,2</t>
  </si>
  <si>
    <t>Từ ngày 10/03 đến ngày 14/03/2025</t>
  </si>
  <si>
    <t>Gừng tươi</t>
  </si>
  <si>
    <t xml:space="preserve">  T2
10/03</t>
  </si>
  <si>
    <t xml:space="preserve">  T3
11/03</t>
  </si>
  <si>
    <t xml:space="preserve">  T4
12/03</t>
  </si>
  <si>
    <t xml:space="preserve">  T5
13/03</t>
  </si>
  <si>
    <t>T6 14/03</t>
  </si>
  <si>
    <t>12,4</t>
  </si>
  <si>
    <t>BẢNG ĐỊNH LƯỢNG THỰC PHẨM SUẤT ĂN BÁN TRÚ THÁNG 03/2025</t>
  </si>
  <si>
    <t>10</t>
  </si>
  <si>
    <t>18,4</t>
  </si>
  <si>
    <t>Từ ngày 17/03 đến ngày 21/03/2025</t>
  </si>
  <si>
    <t xml:space="preserve">  T2
17/03</t>
  </si>
  <si>
    <t xml:space="preserve">  T3
18/03</t>
  </si>
  <si>
    <t xml:space="preserve">  T4
19/03</t>
  </si>
  <si>
    <t xml:space="preserve">  T5
20/03</t>
  </si>
  <si>
    <t>T6 21/03</t>
  </si>
  <si>
    <t>9,3</t>
  </si>
  <si>
    <t>17,8</t>
  </si>
  <si>
    <t>5,5</t>
  </si>
  <si>
    <t>17,4</t>
  </si>
  <si>
    <t xml:space="preserve">Trứng cút </t>
  </si>
  <si>
    <t>Rau mùng tơi</t>
  </si>
  <si>
    <t xml:space="preserve">Mướp hương </t>
  </si>
  <si>
    <t xml:space="preserve">  T4
01/04</t>
  </si>
  <si>
    <t xml:space="preserve">  T4
02/04</t>
  </si>
  <si>
    <t xml:space="preserve">  T5
03/04</t>
  </si>
  <si>
    <t>T6    04/04</t>
  </si>
  <si>
    <t>BẢNG ĐỊNH LƯỢNG THỰC PHẨM SUẤT ĂN BÁN TRÚ THÁNG 04/2025</t>
  </si>
  <si>
    <t>Từ ngày 01/04 đến ngày 04/04/2025</t>
  </si>
  <si>
    <t xml:space="preserve">Rau ngót </t>
  </si>
  <si>
    <t>120</t>
  </si>
  <si>
    <t>cái</t>
  </si>
  <si>
    <t>8,5</t>
  </si>
  <si>
    <t>Nhờ bác hàng thịt lọc bì để riêng luôn</t>
  </si>
  <si>
    <t>4,1</t>
  </si>
  <si>
    <t>Cà chua</t>
  </si>
  <si>
    <t xml:space="preserve">Cải ngọt </t>
  </si>
  <si>
    <t>4</t>
  </si>
  <si>
    <t>Từ ngày 08/04 đến ngày 12/04/2025</t>
  </si>
  <si>
    <t xml:space="preserve">  T4
09/04</t>
  </si>
  <si>
    <t>Rầu hào Magi880ml</t>
  </si>
  <si>
    <t xml:space="preserve">  T3
08/04</t>
  </si>
  <si>
    <t xml:space="preserve">Bầu </t>
  </si>
  <si>
    <t>125</t>
  </si>
  <si>
    <t>17</t>
  </si>
  <si>
    <t xml:space="preserve">  T5
10/04</t>
  </si>
  <si>
    <t>T6    11/04</t>
  </si>
  <si>
    <t>còn 230 em 1 em nghỉ 1 tháng</t>
  </si>
  <si>
    <t>3 em nghỉ ngáy 10-11 còn 229</t>
  </si>
  <si>
    <t>15 em nghỉ ngáy 10-11 còn 229</t>
  </si>
  <si>
    <t>26,1</t>
  </si>
  <si>
    <t>9,9</t>
  </si>
  <si>
    <t>Tổng còn 228 em ăn</t>
  </si>
  <si>
    <t>8,9</t>
  </si>
  <si>
    <t>Từ ngày 15/04 đến ngày 1904/2025</t>
  </si>
  <si>
    <t xml:space="preserve">  T2
14/04</t>
  </si>
  <si>
    <t xml:space="preserve">  T3
15/04</t>
  </si>
  <si>
    <t xml:space="preserve">  T4
16/04</t>
  </si>
  <si>
    <t>T5    17/04</t>
  </si>
  <si>
    <t>T6    18/04</t>
  </si>
  <si>
    <t>Gừng</t>
  </si>
  <si>
    <t>127</t>
  </si>
  <si>
    <t>Bí đỏ</t>
  </si>
  <si>
    <t>Mùi tàu</t>
  </si>
  <si>
    <t>Cà chua đắt thế</t>
  </si>
  <si>
    <t>10,9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</si>
</sst>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₫_-;\-* #,##0.00\ _₫_-;_-* &quot;-&quot;??\ _₫_-;_-@_-"/>
    <numFmt numFmtId="169" formatCode="_(* #,##0.0_);_(* \(#,##0.0\);_(* &quot;-&quot;??_);_(@_)"/>
    <numFmt numFmtId="170" formatCode="&quot;$&quot;#,##0_);\(&quot;$&quot;#,##0\)"/>
    <numFmt numFmtId="171" formatCode="#,##0.0"/>
  </numFmts>
  <fonts count="33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Arial"/>
      <family val="2"/>
      <scheme val="minor"/>
    </font>
    <font>
      <sz val="14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8"/>
      <name val="Arial"/>
      <family val="2"/>
      <scheme val="minor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VNbook-Antiqua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  <charset val="163"/>
    </font>
    <font>
      <b/>
      <sz val="12"/>
      <color theme="1"/>
      <name val="Arial"/>
      <family val="2"/>
      <charset val="163"/>
      <scheme val="minor"/>
    </font>
    <font>
      <sz val="14"/>
      <color theme="1"/>
      <name val="Arial"/>
      <family val="2"/>
      <scheme val="minor"/>
    </font>
    <font>
      <sz val="12"/>
      <color rgb="FFFF0000"/>
      <name val="Times New Roman"/>
      <family val="1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color rgb="FFFF0000"/>
      <name val="Arial"/>
      <family val="2"/>
      <charset val="163"/>
      <scheme val="minor"/>
    </font>
    <font>
      <sz val="12"/>
      <name val="Arial"/>
      <family val="2"/>
      <scheme val="minor"/>
    </font>
    <font>
      <b/>
      <sz val="12"/>
      <color rgb="FFFF0000"/>
      <name val="Times New Roman"/>
      <family val="1"/>
      <charset val="163"/>
    </font>
    <font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165" fontId="1" fillId="0" borderId="1" xfId="1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5" xfId="0" applyFont="1" applyBorder="1"/>
    <xf numFmtId="3" fontId="5" fillId="0" borderId="5" xfId="0" applyNumberFormat="1" applyFont="1" applyBorder="1"/>
    <xf numFmtId="165" fontId="1" fillId="0" borderId="5" xfId="1" applyNumberFormat="1" applyFont="1" applyBorder="1"/>
    <xf numFmtId="0" fontId="1" fillId="0" borderId="9" xfId="0" applyFont="1" applyBorder="1"/>
    <xf numFmtId="165" fontId="1" fillId="0" borderId="9" xfId="1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165" fontId="1" fillId="0" borderId="6" xfId="1" applyNumberFormat="1" applyFont="1" applyBorder="1"/>
    <xf numFmtId="0" fontId="1" fillId="0" borderId="7" xfId="0" applyFont="1" applyBorder="1"/>
    <xf numFmtId="49" fontId="1" fillId="0" borderId="7" xfId="1" applyNumberFormat="1" applyFont="1" applyBorder="1"/>
    <xf numFmtId="165" fontId="1" fillId="0" borderId="7" xfId="1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5" fontId="2" fillId="0" borderId="1" xfId="0" applyNumberFormat="1" applyFont="1" applyBorder="1"/>
    <xf numFmtId="165" fontId="1" fillId="0" borderId="6" xfId="1" applyNumberFormat="1" applyFont="1" applyBorder="1" applyAlignment="1">
      <alignment horizontal="right"/>
    </xf>
    <xf numFmtId="165" fontId="2" fillId="0" borderId="6" xfId="1" applyNumberFormat="1" applyFont="1" applyBorder="1"/>
    <xf numFmtId="0" fontId="1" fillId="0" borderId="4" xfId="0" applyFont="1" applyBorder="1" applyAlignment="1">
      <alignment horizontal="center"/>
    </xf>
    <xf numFmtId="165" fontId="0" fillId="0" borderId="0" xfId="0" applyNumberFormat="1"/>
    <xf numFmtId="0" fontId="11" fillId="0" borderId="0" xfId="0" applyFont="1"/>
    <xf numFmtId="3" fontId="1" fillId="0" borderId="7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/>
    <xf numFmtId="3" fontId="1" fillId="0" borderId="14" xfId="0" applyNumberFormat="1" applyFont="1" applyBorder="1"/>
    <xf numFmtId="0" fontId="12" fillId="0" borderId="6" xfId="0" applyFont="1" applyBorder="1"/>
    <xf numFmtId="165" fontId="1" fillId="0" borderId="2" xfId="1" applyNumberFormat="1" applyFont="1" applyBorder="1"/>
    <xf numFmtId="3" fontId="5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right" vertical="center"/>
    </xf>
    <xf numFmtId="165" fontId="1" fillId="0" borderId="6" xfId="1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14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9" fontId="1" fillId="0" borderId="6" xfId="1" applyNumberFormat="1" applyFont="1" applyBorder="1" applyAlignment="1">
      <alignment horizontal="center" vertical="center"/>
    </xf>
    <xf numFmtId="49" fontId="1" fillId="0" borderId="9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/>
    </xf>
    <xf numFmtId="49" fontId="1" fillId="0" borderId="14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3" fontId="3" fillId="0" borderId="5" xfId="0" applyNumberFormat="1" applyFont="1" applyBorder="1"/>
    <xf numFmtId="165" fontId="3" fillId="0" borderId="5" xfId="1" applyNumberFormat="1" applyFont="1" applyBorder="1"/>
    <xf numFmtId="0" fontId="11" fillId="2" borderId="0" xfId="0" applyFont="1" applyFill="1"/>
    <xf numFmtId="3" fontId="3" fillId="0" borderId="6" xfId="0" applyNumberFormat="1" applyFont="1" applyBorder="1"/>
    <xf numFmtId="165" fontId="3" fillId="0" borderId="6" xfId="1" applyNumberFormat="1" applyFont="1" applyBorder="1"/>
    <xf numFmtId="169" fontId="3" fillId="0" borderId="6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5" fontId="3" fillId="0" borderId="6" xfId="1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165" fontId="16" fillId="0" borderId="1" xfId="0" applyNumberFormat="1" applyFont="1" applyBorder="1"/>
    <xf numFmtId="0" fontId="3" fillId="0" borderId="9" xfId="0" applyFont="1" applyBorder="1"/>
    <xf numFmtId="3" fontId="3" fillId="0" borderId="9" xfId="0" applyNumberFormat="1" applyFont="1" applyBorder="1"/>
    <xf numFmtId="0" fontId="3" fillId="0" borderId="15" xfId="0" applyFont="1" applyBorder="1"/>
    <xf numFmtId="3" fontId="3" fillId="0" borderId="15" xfId="0" applyNumberFormat="1" applyFont="1" applyBorder="1"/>
    <xf numFmtId="0" fontId="3" fillId="0" borderId="7" xfId="0" applyFont="1" applyBorder="1"/>
    <xf numFmtId="0" fontId="13" fillId="3" borderId="0" xfId="0" applyFont="1" applyFill="1" applyAlignment="1">
      <alignment horizontal="center"/>
    </xf>
    <xf numFmtId="49" fontId="3" fillId="0" borderId="5" xfId="1" applyNumberFormat="1" applyFont="1" applyBorder="1" applyAlignment="1">
      <alignment horizontal="right"/>
    </xf>
    <xf numFmtId="49" fontId="3" fillId="0" borderId="6" xfId="1" applyNumberFormat="1" applyFont="1" applyBorder="1" applyAlignment="1">
      <alignment horizontal="right"/>
    </xf>
    <xf numFmtId="0" fontId="3" fillId="0" borderId="16" xfId="0" applyFont="1" applyBorder="1"/>
    <xf numFmtId="49" fontId="3" fillId="0" borderId="9" xfId="1" applyNumberFormat="1" applyFont="1" applyBorder="1" applyAlignment="1">
      <alignment horizontal="right"/>
    </xf>
    <xf numFmtId="49" fontId="3" fillId="0" borderId="1" xfId="1" applyNumberFormat="1" applyFont="1" applyBorder="1" applyAlignment="1">
      <alignment horizontal="right"/>
    </xf>
    <xf numFmtId="49" fontId="3" fillId="0" borderId="1" xfId="0" applyNumberFormat="1" applyFont="1" applyBorder="1"/>
    <xf numFmtId="49" fontId="3" fillId="0" borderId="6" xfId="0" applyNumberFormat="1" applyFont="1" applyBorder="1"/>
    <xf numFmtId="49" fontId="3" fillId="0" borderId="9" xfId="0" applyNumberFormat="1" applyFont="1" applyBorder="1"/>
    <xf numFmtId="49" fontId="1" fillId="0" borderId="5" xfId="0" applyNumberFormat="1" applyFont="1" applyBorder="1"/>
    <xf numFmtId="49" fontId="1" fillId="0" borderId="2" xfId="0" applyNumberFormat="1" applyFont="1" applyBorder="1"/>
    <xf numFmtId="49" fontId="1" fillId="0" borderId="9" xfId="0" applyNumberFormat="1" applyFont="1" applyBorder="1"/>
    <xf numFmtId="49" fontId="1" fillId="0" borderId="6" xfId="0" applyNumberFormat="1" applyFont="1" applyBorder="1"/>
    <xf numFmtId="169" fontId="1" fillId="0" borderId="6" xfId="1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1" fillId="0" borderId="7" xfId="0" applyFont="1" applyBorder="1"/>
    <xf numFmtId="49" fontId="21" fillId="0" borderId="7" xfId="1" applyNumberFormat="1" applyFont="1" applyBorder="1"/>
    <xf numFmtId="0" fontId="1" fillId="0" borderId="3" xfId="0" applyFont="1" applyBorder="1"/>
    <xf numFmtId="0" fontId="3" fillId="0" borderId="14" xfId="0" applyFont="1" applyBorder="1"/>
    <xf numFmtId="171" fontId="1" fillId="0" borderId="6" xfId="0" applyNumberFormat="1" applyFont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3" fillId="0" borderId="0" xfId="0" applyFont="1"/>
    <xf numFmtId="0" fontId="24" fillId="0" borderId="2" xfId="0" applyFont="1" applyBorder="1"/>
    <xf numFmtId="49" fontId="12" fillId="0" borderId="5" xfId="0" applyNumberFormat="1" applyFont="1" applyBorder="1"/>
    <xf numFmtId="0" fontId="12" fillId="0" borderId="5" xfId="0" applyFont="1" applyBorder="1"/>
    <xf numFmtId="3" fontId="24" fillId="0" borderId="2" xfId="0" applyNumberFormat="1" applyFont="1" applyBorder="1"/>
    <xf numFmtId="165" fontId="12" fillId="0" borderId="5" xfId="1" applyNumberFormat="1" applyFont="1" applyBorder="1"/>
    <xf numFmtId="0" fontId="25" fillId="2" borderId="0" xfId="0" applyFont="1" applyFill="1"/>
    <xf numFmtId="0" fontId="25" fillId="0" borderId="0" xfId="0" applyFont="1"/>
    <xf numFmtId="49" fontId="12" fillId="0" borderId="6" xfId="1" applyNumberFormat="1" applyFont="1" applyBorder="1" applyAlignment="1">
      <alignment horizontal="center" vertical="center"/>
    </xf>
    <xf numFmtId="3" fontId="12" fillId="0" borderId="6" xfId="0" applyNumberFormat="1" applyFont="1" applyBorder="1"/>
    <xf numFmtId="165" fontId="12" fillId="0" borderId="6" xfId="1" applyNumberFormat="1" applyFont="1" applyBorder="1"/>
    <xf numFmtId="0" fontId="12" fillId="0" borderId="3" xfId="0" applyFont="1" applyBorder="1" applyAlignment="1">
      <alignment vertical="center"/>
    </xf>
    <xf numFmtId="164" fontId="25" fillId="0" borderId="0" xfId="1" applyFont="1"/>
    <xf numFmtId="165" fontId="25" fillId="0" borderId="0" xfId="1" applyNumberFormat="1" applyFont="1"/>
    <xf numFmtId="0" fontId="12" fillId="0" borderId="7" xfId="0" applyFont="1" applyBorder="1"/>
    <xf numFmtId="49" fontId="12" fillId="0" borderId="7" xfId="1" applyNumberFormat="1" applyFont="1" applyBorder="1" applyAlignment="1">
      <alignment horizontal="center" vertical="center"/>
    </xf>
    <xf numFmtId="49" fontId="12" fillId="0" borderId="7" xfId="1" applyNumberFormat="1" applyFont="1" applyBorder="1"/>
    <xf numFmtId="165" fontId="25" fillId="0" borderId="0" xfId="0" applyNumberFormat="1" applyFont="1"/>
    <xf numFmtId="165" fontId="12" fillId="0" borderId="0" xfId="1" applyNumberFormat="1" applyFont="1" applyBorder="1"/>
    <xf numFmtId="171" fontId="12" fillId="0" borderId="6" xfId="0" applyNumberFormat="1" applyFont="1" applyBorder="1"/>
    <xf numFmtId="165" fontId="12" fillId="0" borderId="7" xfId="1" applyNumberFormat="1" applyFont="1" applyBorder="1"/>
    <xf numFmtId="0" fontId="26" fillId="0" borderId="0" xfId="0" applyFont="1"/>
    <xf numFmtId="166" fontId="25" fillId="0" borderId="0" xfId="0" applyNumberFormat="1" applyFont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5" fontId="7" fillId="0" borderId="1" xfId="0" applyNumberFormat="1" applyFont="1" applyBorder="1"/>
    <xf numFmtId="49" fontId="12" fillId="0" borderId="2" xfId="0" applyNumberFormat="1" applyFont="1" applyBorder="1" applyAlignment="1">
      <alignment horizontal="center"/>
    </xf>
    <xf numFmtId="49" fontId="24" fillId="0" borderId="1" xfId="1" applyNumberFormat="1" applyFont="1" applyBorder="1" applyAlignment="1">
      <alignment horizontal="right"/>
    </xf>
    <xf numFmtId="3" fontId="27" fillId="0" borderId="5" xfId="0" applyNumberFormat="1" applyFont="1" applyBorder="1"/>
    <xf numFmtId="49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165" fontId="22" fillId="0" borderId="0" xfId="0" applyNumberFormat="1" applyFont="1"/>
    <xf numFmtId="0" fontId="22" fillId="0" borderId="0" xfId="0" applyFont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/>
    <xf numFmtId="0" fontId="28" fillId="0" borderId="11" xfId="0" applyFont="1" applyBorder="1"/>
    <xf numFmtId="49" fontId="28" fillId="0" borderId="1" xfId="1" applyNumberFormat="1" applyFont="1" applyBorder="1" applyAlignment="1">
      <alignment horizontal="center" vertical="center"/>
    </xf>
    <xf numFmtId="49" fontId="28" fillId="0" borderId="11" xfId="1" applyNumberFormat="1" applyFont="1" applyBorder="1"/>
    <xf numFmtId="165" fontId="28" fillId="0" borderId="1" xfId="1" applyNumberFormat="1" applyFont="1" applyBorder="1"/>
    <xf numFmtId="0" fontId="29" fillId="0" borderId="0" xfId="0" applyFont="1"/>
    <xf numFmtId="0" fontId="12" fillId="0" borderId="2" xfId="0" applyFont="1" applyBorder="1" applyAlignment="1">
      <alignment horizontal="center"/>
    </xf>
    <xf numFmtId="0" fontId="12" fillId="0" borderId="17" xfId="0" applyFont="1" applyBorder="1"/>
    <xf numFmtId="49" fontId="24" fillId="0" borderId="3" xfId="1" applyNumberFormat="1" applyFont="1" applyBorder="1" applyAlignment="1">
      <alignment horizontal="right"/>
    </xf>
    <xf numFmtId="0" fontId="12" fillId="0" borderId="3" xfId="0" applyFont="1" applyBorder="1"/>
    <xf numFmtId="165" fontId="12" fillId="0" borderId="3" xfId="1" applyNumberFormat="1" applyFont="1" applyBorder="1"/>
    <xf numFmtId="0" fontId="12" fillId="0" borderId="9" xfId="0" applyFont="1" applyBorder="1"/>
    <xf numFmtId="0" fontId="12" fillId="0" borderId="6" xfId="0" applyFont="1" applyBorder="1" applyAlignment="1">
      <alignment horizontal="center"/>
    </xf>
    <xf numFmtId="0" fontId="12" fillId="0" borderId="19" xfId="0" applyFont="1" applyBorder="1"/>
    <xf numFmtId="49" fontId="24" fillId="0" borderId="6" xfId="1" applyNumberFormat="1" applyFont="1" applyBorder="1" applyAlignment="1">
      <alignment horizontal="right"/>
    </xf>
    <xf numFmtId="3" fontId="27" fillId="0" borderId="9" xfId="0" applyNumberFormat="1" applyFont="1" applyBorder="1"/>
    <xf numFmtId="0" fontId="12" fillId="0" borderId="18" xfId="0" applyFont="1" applyBorder="1" applyAlignment="1">
      <alignment horizontal="center"/>
    </xf>
    <xf numFmtId="0" fontId="12" fillId="0" borderId="20" xfId="0" applyFont="1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49" fontId="12" fillId="0" borderId="3" xfId="0" applyNumberFormat="1" applyFont="1" applyBorder="1" applyAlignment="1">
      <alignment horizontal="center"/>
    </xf>
    <xf numFmtId="49" fontId="24" fillId="0" borderId="4" xfId="1" applyNumberFormat="1" applyFont="1" applyBorder="1" applyAlignment="1">
      <alignment horizontal="right"/>
    </xf>
    <xf numFmtId="165" fontId="12" fillId="0" borderId="9" xfId="1" applyNumberFormat="1" applyFont="1" applyBorder="1"/>
    <xf numFmtId="0" fontId="12" fillId="0" borderId="14" xfId="0" applyFont="1" applyBorder="1"/>
    <xf numFmtId="0" fontId="12" fillId="0" borderId="1" xfId="0" applyFont="1" applyBorder="1" applyAlignment="1">
      <alignment horizontal="center" vertical="center" wrapText="1"/>
    </xf>
    <xf numFmtId="0" fontId="24" fillId="0" borderId="4" xfId="0" applyFont="1" applyBorder="1"/>
    <xf numFmtId="0" fontId="12" fillId="0" borderId="4" xfId="0" applyFont="1" applyBorder="1"/>
    <xf numFmtId="49" fontId="12" fillId="0" borderId="4" xfId="1" applyNumberFormat="1" applyFont="1" applyBorder="1" applyAlignment="1">
      <alignment horizontal="center" vertical="center"/>
    </xf>
    <xf numFmtId="165" fontId="12" fillId="0" borderId="4" xfId="1" applyNumberFormat="1" applyFont="1" applyBorder="1"/>
    <xf numFmtId="165" fontId="7" fillId="0" borderId="1" xfId="1" applyNumberFormat="1" applyFont="1" applyBorder="1"/>
    <xf numFmtId="164" fontId="23" fillId="0" borderId="0" xfId="1" applyFont="1"/>
    <xf numFmtId="165" fontId="25" fillId="2" borderId="0" xfId="0" applyNumberFormat="1" applyFont="1" applyFill="1"/>
    <xf numFmtId="165" fontId="29" fillId="0" borderId="0" xfId="0" applyNumberFormat="1" applyFont="1"/>
    <xf numFmtId="0" fontId="24" fillId="0" borderId="2" xfId="0" applyFont="1" applyBorder="1" applyAlignment="1">
      <alignment horizontal="center"/>
    </xf>
    <xf numFmtId="171" fontId="12" fillId="0" borderId="6" xfId="0" applyNumberFormat="1" applyFont="1" applyBorder="1" applyAlignment="1">
      <alignment horizontal="center"/>
    </xf>
    <xf numFmtId="49" fontId="24" fillId="0" borderId="1" xfId="1" applyNumberFormat="1" applyFont="1" applyBorder="1" applyAlignment="1">
      <alignment horizontal="center"/>
    </xf>
    <xf numFmtId="49" fontId="24" fillId="0" borderId="3" xfId="1" applyNumberFormat="1" applyFont="1" applyBorder="1" applyAlignment="1">
      <alignment horizontal="center"/>
    </xf>
    <xf numFmtId="49" fontId="24" fillId="0" borderId="6" xfId="1" applyNumberFormat="1" applyFont="1" applyBorder="1" applyAlignment="1">
      <alignment horizontal="center"/>
    </xf>
    <xf numFmtId="49" fontId="24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0" fontId="12" fillId="0" borderId="2" xfId="0" applyFont="1" applyBorder="1"/>
    <xf numFmtId="0" fontId="24" fillId="0" borderId="5" xfId="0" applyFont="1" applyBorder="1"/>
    <xf numFmtId="0" fontId="24" fillId="0" borderId="6" xfId="0" applyFont="1" applyBorder="1"/>
    <xf numFmtId="0" fontId="24" fillId="0" borderId="6" xfId="0" applyFont="1" applyBorder="1" applyAlignment="1">
      <alignment horizontal="center"/>
    </xf>
    <xf numFmtId="165" fontId="26" fillId="0" borderId="0" xfId="0" applyNumberFormat="1" applyFont="1"/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165" fontId="24" fillId="0" borderId="4" xfId="1" applyNumberFormat="1" applyFont="1" applyBorder="1"/>
    <xf numFmtId="165" fontId="10" fillId="0" borderId="1" xfId="1" applyNumberFormat="1" applyFont="1" applyBorder="1"/>
    <xf numFmtId="0" fontId="30" fillId="0" borderId="0" xfId="0" applyFont="1"/>
    <xf numFmtId="0" fontId="27" fillId="0" borderId="3" xfId="0" applyFont="1" applyBorder="1" applyAlignment="1">
      <alignment vertical="center"/>
    </xf>
    <xf numFmtId="14" fontId="27" fillId="0" borderId="3" xfId="0" applyNumberFormat="1" applyFont="1" applyBorder="1" applyAlignment="1">
      <alignment horizontal="center" vertical="center" wrapText="1"/>
    </xf>
    <xf numFmtId="165" fontId="30" fillId="0" borderId="0" xfId="1" applyNumberFormat="1" applyFont="1"/>
    <xf numFmtId="164" fontId="30" fillId="0" borderId="0" xfId="1" applyFont="1"/>
    <xf numFmtId="49" fontId="24" fillId="0" borderId="3" xfId="0" applyNumberFormat="1" applyFont="1" applyBorder="1" applyAlignment="1">
      <alignment horizontal="center"/>
    </xf>
    <xf numFmtId="0" fontId="24" fillId="0" borderId="3" xfId="0" applyFont="1" applyBorder="1"/>
    <xf numFmtId="3" fontId="24" fillId="0" borderId="3" xfId="0" applyNumberFormat="1" applyFont="1" applyBorder="1"/>
    <xf numFmtId="165" fontId="24" fillId="0" borderId="3" xfId="1" applyNumberFormat="1" applyFont="1" applyBorder="1"/>
    <xf numFmtId="49" fontId="24" fillId="0" borderId="6" xfId="0" applyNumberFormat="1" applyFont="1" applyBorder="1" applyAlignment="1">
      <alignment horizontal="center"/>
    </xf>
    <xf numFmtId="3" fontId="24" fillId="0" borderId="6" xfId="0" applyNumberFormat="1" applyFont="1" applyBorder="1"/>
    <xf numFmtId="165" fontId="24" fillId="0" borderId="6" xfId="1" applyNumberFormat="1" applyFont="1" applyBorder="1"/>
    <xf numFmtId="49" fontId="24" fillId="0" borderId="14" xfId="0" applyNumberFormat="1" applyFont="1" applyBorder="1" applyAlignment="1">
      <alignment horizontal="center"/>
    </xf>
    <xf numFmtId="0" fontId="24" fillId="0" borderId="7" xfId="0" applyFont="1" applyBorder="1"/>
    <xf numFmtId="49" fontId="24" fillId="0" borderId="7" xfId="1" applyNumberFormat="1" applyFont="1" applyBorder="1" applyAlignment="1">
      <alignment horizontal="center" vertical="center"/>
    </xf>
    <xf numFmtId="49" fontId="24" fillId="0" borderId="7" xfId="1" applyNumberFormat="1" applyFont="1" applyBorder="1"/>
    <xf numFmtId="165" fontId="24" fillId="0" borderId="7" xfId="1" applyNumberFormat="1" applyFont="1" applyBorder="1"/>
    <xf numFmtId="14" fontId="24" fillId="0" borderId="3" xfId="0" applyNumberFormat="1" applyFont="1" applyBorder="1" applyAlignment="1">
      <alignment horizontal="center" vertical="center" wrapText="1"/>
    </xf>
    <xf numFmtId="165" fontId="26" fillId="2" borderId="0" xfId="0" applyNumberFormat="1" applyFont="1" applyFill="1"/>
    <xf numFmtId="165" fontId="1" fillId="0" borderId="14" xfId="1" applyNumberFormat="1" applyFont="1" applyBorder="1"/>
    <xf numFmtId="49" fontId="1" fillId="0" borderId="5" xfId="1" applyNumberFormat="1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/>
    <xf numFmtId="3" fontId="24" fillId="0" borderId="1" xfId="0" applyNumberFormat="1" applyFont="1" applyBorder="1"/>
    <xf numFmtId="165" fontId="24" fillId="0" borderId="1" xfId="1" applyNumberFormat="1" applyFont="1" applyBorder="1"/>
    <xf numFmtId="0" fontId="28" fillId="0" borderId="7" xfId="0" applyFont="1" applyBorder="1"/>
    <xf numFmtId="49" fontId="28" fillId="0" borderId="7" xfId="1" applyNumberFormat="1" applyFont="1" applyBorder="1"/>
    <xf numFmtId="165" fontId="31" fillId="0" borderId="7" xfId="1" applyNumberFormat="1" applyFont="1" applyBorder="1"/>
    <xf numFmtId="169" fontId="1" fillId="0" borderId="6" xfId="1" applyNumberFormat="1" applyFont="1" applyBorder="1" applyAlignment="1">
      <alignment horizontal="center"/>
    </xf>
    <xf numFmtId="164" fontId="26" fillId="0" borderId="0" xfId="1" applyFont="1"/>
    <xf numFmtId="49" fontId="12" fillId="0" borderId="3" xfId="1" applyNumberFormat="1" applyFont="1" applyBorder="1" applyAlignment="1">
      <alignment horizontal="center"/>
    </xf>
    <xf numFmtId="3" fontId="12" fillId="0" borderId="3" xfId="0" applyNumberFormat="1" applyFont="1" applyBorder="1"/>
    <xf numFmtId="3" fontId="12" fillId="0" borderId="2" xfId="0" applyNumberFormat="1" applyFont="1" applyBorder="1"/>
    <xf numFmtId="49" fontId="12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/>
    <xf numFmtId="0" fontId="15" fillId="0" borderId="6" xfId="0" applyFont="1" applyBorder="1" applyAlignment="1">
      <alignment horizontal="center" wrapText="1"/>
    </xf>
    <xf numFmtId="49" fontId="12" fillId="0" borderId="7" xfId="1" applyNumberFormat="1" applyFont="1" applyBorder="1" applyAlignment="1">
      <alignment horizontal="center"/>
    </xf>
    <xf numFmtId="49" fontId="28" fillId="0" borderId="1" xfId="1" applyNumberFormat="1" applyFont="1" applyBorder="1" applyAlignment="1">
      <alignment horizontal="center"/>
    </xf>
    <xf numFmtId="169" fontId="12" fillId="0" borderId="6" xfId="1" applyNumberFormat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49" fontId="24" fillId="0" borderId="7" xfId="1" applyNumberFormat="1" applyFont="1" applyBorder="1" applyAlignment="1">
      <alignment horizontal="center"/>
    </xf>
    <xf numFmtId="169" fontId="24" fillId="0" borderId="1" xfId="1" applyNumberFormat="1" applyFont="1" applyBorder="1" applyAlignment="1">
      <alignment horizontal="center"/>
    </xf>
    <xf numFmtId="169" fontId="24" fillId="0" borderId="6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28" fillId="0" borderId="7" xfId="1" applyNumberFormat="1" applyFont="1" applyBorder="1" applyAlignment="1">
      <alignment horizontal="center"/>
    </xf>
    <xf numFmtId="0" fontId="32" fillId="2" borderId="0" xfId="0" applyFont="1" applyFill="1"/>
    <xf numFmtId="0" fontId="24" fillId="0" borderId="3" xfId="0" applyFont="1" applyBorder="1" applyAlignment="1">
      <alignment vertical="center"/>
    </xf>
    <xf numFmtId="0" fontId="28" fillId="0" borderId="3" xfId="0" applyFont="1" applyBorder="1"/>
    <xf numFmtId="0" fontId="28" fillId="0" borderId="14" xfId="0" applyFont="1" applyBorder="1"/>
    <xf numFmtId="49" fontId="28" fillId="0" borderId="3" xfId="1" applyNumberFormat="1" applyFont="1" applyBorder="1" applyAlignment="1">
      <alignment horizontal="center"/>
    </xf>
    <xf numFmtId="49" fontId="28" fillId="0" borderId="3" xfId="1" applyNumberFormat="1" applyFont="1" applyBorder="1"/>
    <xf numFmtId="165" fontId="28" fillId="0" borderId="3" xfId="1" applyNumberFormat="1" applyFont="1" applyBorder="1"/>
    <xf numFmtId="0" fontId="31" fillId="0" borderId="1" xfId="0" applyFont="1" applyBorder="1" applyAlignment="1">
      <alignment vertical="center"/>
    </xf>
    <xf numFmtId="49" fontId="21" fillId="0" borderId="7" xfId="1" applyNumberFormat="1" applyFont="1" applyBorder="1" applyAlignment="1">
      <alignment horizontal="center"/>
    </xf>
    <xf numFmtId="165" fontId="21" fillId="0" borderId="1" xfId="1" applyNumberFormat="1" applyFont="1" applyBorder="1"/>
    <xf numFmtId="49" fontId="24" fillId="0" borderId="5" xfId="0" applyNumberFormat="1" applyFont="1" applyBorder="1"/>
    <xf numFmtId="165" fontId="24" fillId="0" borderId="5" xfId="1" applyNumberFormat="1" applyFont="1" applyBorder="1"/>
    <xf numFmtId="0" fontId="24" fillId="0" borderId="9" xfId="0" applyFont="1" applyBorder="1"/>
    <xf numFmtId="0" fontId="24" fillId="0" borderId="18" xfId="0" applyFont="1" applyBorder="1" applyAlignment="1">
      <alignment horizontal="center"/>
    </xf>
    <xf numFmtId="171" fontId="24" fillId="0" borderId="6" xfId="0" applyNumberFormat="1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3" fontId="24" fillId="0" borderId="5" xfId="0" applyNumberFormat="1" applyFont="1" applyBorder="1"/>
    <xf numFmtId="0" fontId="24" fillId="0" borderId="19" xfId="0" applyFont="1" applyBorder="1"/>
    <xf numFmtId="0" fontId="24" fillId="0" borderId="9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/>
    <xf numFmtId="169" fontId="31" fillId="0" borderId="1" xfId="1" applyNumberFormat="1" applyFont="1" applyBorder="1" applyAlignment="1">
      <alignment horizontal="center"/>
    </xf>
    <xf numFmtId="3" fontId="31" fillId="0" borderId="2" xfId="0" applyNumberFormat="1" applyFont="1" applyBorder="1"/>
    <xf numFmtId="165" fontId="31" fillId="0" borderId="2" xfId="1" applyNumberFormat="1" applyFont="1" applyBorder="1"/>
    <xf numFmtId="14" fontId="2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4" fontId="27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</cellXfs>
  <cellStyles count="8">
    <cellStyle name="Comma" xfId="1" builtinId="3"/>
    <cellStyle name="Comma 2" xfId="4" xr:uid="{E8F88A43-1A7C-4FA7-B7E0-3F74EBC44583}"/>
    <cellStyle name="Comma 3" xfId="7" xr:uid="{53BF0BEE-1707-42F1-BDF0-8B468A394C3A}"/>
    <cellStyle name="Comma 4" xfId="6" xr:uid="{4FE210F7-C60D-4A02-9A41-2357F20F6065}"/>
    <cellStyle name="Comma 5" xfId="3" xr:uid="{C4969DDC-215D-45B6-A040-E45C8DA8996B}"/>
    <cellStyle name="Normal" xfId="0" builtinId="0"/>
    <cellStyle name="Normal 2" xfId="5" xr:uid="{418165E4-1A00-40FC-BACE-94DF9A41D36A}"/>
    <cellStyle name="Normal 3" xfId="2" xr:uid="{4B92E9C6-F959-4EC2-9349-2E8F1D3D1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894E-32BF-4534-8A54-263BB4D6E262}">
  <dimension ref="A1:Q428"/>
  <sheetViews>
    <sheetView topLeftCell="A52" zoomScaleNormal="100" workbookViewId="0">
      <selection activeCell="I56" sqref="I56"/>
    </sheetView>
  </sheetViews>
  <sheetFormatPr defaultRowHeight="13.8"/>
  <cols>
    <col min="1" max="1" width="5.796875" customWidth="1"/>
    <col min="2" max="2" width="24.59765625" customWidth="1"/>
    <col min="3" max="3" width="8.8984375" style="34" customWidth="1"/>
    <col min="4" max="4" width="6.796875" customWidth="1"/>
    <col min="5" max="5" width="7.8984375" style="34" customWidth="1"/>
    <col min="6" max="6" width="4.8984375" customWidth="1"/>
    <col min="7" max="7" width="10.09765625" customWidth="1"/>
    <col min="8" max="8" width="13.296875" customWidth="1"/>
    <col min="9" max="9" width="43" customWidth="1"/>
    <col min="10" max="10" width="10.296875" bestFit="1" customWidth="1"/>
  </cols>
  <sheetData>
    <row r="1" spans="1:17" ht="15.6">
      <c r="A1" s="6" t="s">
        <v>0</v>
      </c>
      <c r="B1" s="6"/>
    </row>
    <row r="2" spans="1:17" s="113" customFormat="1" ht="16.8" customHeight="1">
      <c r="A2" s="277" t="s">
        <v>192</v>
      </c>
      <c r="B2" s="277"/>
      <c r="C2" s="277"/>
      <c r="D2" s="277"/>
      <c r="E2" s="277"/>
      <c r="F2" s="277"/>
      <c r="G2" s="277"/>
      <c r="H2" s="277"/>
      <c r="I2" s="182">
        <f>1996200/15</f>
        <v>133080</v>
      </c>
    </row>
    <row r="3" spans="1:17" s="113" customFormat="1" ht="16.2" customHeight="1">
      <c r="A3" s="112"/>
      <c r="B3" s="278" t="s">
        <v>219</v>
      </c>
      <c r="C3" s="278"/>
      <c r="D3" s="278"/>
      <c r="E3" s="278"/>
      <c r="F3" s="278"/>
      <c r="G3" s="278"/>
      <c r="H3" s="278"/>
    </row>
    <row r="4" spans="1:17" s="120" customFormat="1" ht="15" customHeight="1">
      <c r="A4" s="279" t="s">
        <v>220</v>
      </c>
      <c r="B4" s="194" t="s">
        <v>10</v>
      </c>
      <c r="C4" s="115">
        <f>E4/D4</f>
        <v>0.12149122807017544</v>
      </c>
      <c r="D4" s="196">
        <v>228</v>
      </c>
      <c r="E4" s="157">
        <v>27.7</v>
      </c>
      <c r="F4" s="116" t="s">
        <v>1</v>
      </c>
      <c r="G4" s="238">
        <v>21000</v>
      </c>
      <c r="H4" s="118">
        <f>E4*G4</f>
        <v>581700</v>
      </c>
      <c r="I4" s="183" t="e">
        <f>#REF!-#REF!</f>
        <v>#REF!</v>
      </c>
    </row>
    <row r="5" spans="1:17" s="120" customFormat="1" ht="15" customHeight="1">
      <c r="A5" s="280"/>
      <c r="B5" s="37" t="s">
        <v>5</v>
      </c>
      <c r="C5" s="37">
        <f>E5/D5</f>
        <v>7.0175438596491224E-2</v>
      </c>
      <c r="D5" s="196">
        <v>228</v>
      </c>
      <c r="E5" s="163">
        <v>16</v>
      </c>
      <c r="F5" s="37" t="s">
        <v>1</v>
      </c>
      <c r="G5" s="122">
        <v>141750</v>
      </c>
      <c r="H5" s="123">
        <f>E5*G5</f>
        <v>2268000</v>
      </c>
      <c r="I5" s="125">
        <f>I6*17000</f>
        <v>0</v>
      </c>
    </row>
    <row r="6" spans="1:17" s="120" customFormat="1" ht="15" customHeight="1">
      <c r="A6" s="280"/>
      <c r="B6" s="37" t="s">
        <v>31</v>
      </c>
      <c r="C6" s="37">
        <f t="shared" ref="C6:C7" si="0">E6/D6</f>
        <v>3.0701754385964912E-3</v>
      </c>
      <c r="D6" s="164">
        <v>228</v>
      </c>
      <c r="E6" s="239" t="s">
        <v>32</v>
      </c>
      <c r="F6" s="37" t="s">
        <v>1</v>
      </c>
      <c r="G6" s="122">
        <v>304500</v>
      </c>
      <c r="H6" s="123">
        <f t="shared" ref="H6:H10" si="1">E6*G6</f>
        <v>213150</v>
      </c>
    </row>
    <row r="7" spans="1:17" s="120" customFormat="1" ht="15" customHeight="1">
      <c r="A7" s="280"/>
      <c r="B7" s="37" t="s">
        <v>33</v>
      </c>
      <c r="C7" s="37">
        <f t="shared" si="0"/>
        <v>3.2017543859649125E-2</v>
      </c>
      <c r="D7" s="196">
        <v>228</v>
      </c>
      <c r="E7" s="239" t="s">
        <v>141</v>
      </c>
      <c r="F7" s="37" t="s">
        <v>1</v>
      </c>
      <c r="G7" s="122">
        <v>67200</v>
      </c>
      <c r="H7" s="123">
        <f t="shared" si="1"/>
        <v>490560</v>
      </c>
      <c r="I7" s="135"/>
    </row>
    <row r="8" spans="1:17" s="120" customFormat="1" ht="15" customHeight="1">
      <c r="A8" s="280"/>
      <c r="B8" s="37" t="s">
        <v>50</v>
      </c>
      <c r="C8" s="163"/>
      <c r="D8" s="164">
        <v>228</v>
      </c>
      <c r="E8" s="163">
        <v>0.1</v>
      </c>
      <c r="F8" s="37" t="s">
        <v>3</v>
      </c>
      <c r="G8" s="122">
        <v>36750</v>
      </c>
      <c r="H8" s="123">
        <f t="shared" si="1"/>
        <v>3675</v>
      </c>
    </row>
    <row r="9" spans="1:17" s="120" customFormat="1" ht="15" customHeight="1">
      <c r="A9" s="280"/>
      <c r="B9" s="37" t="s">
        <v>152</v>
      </c>
      <c r="C9" s="145"/>
      <c r="D9" s="37"/>
      <c r="E9" s="239" t="s">
        <v>156</v>
      </c>
      <c r="F9" s="37" t="s">
        <v>1</v>
      </c>
      <c r="G9" s="122">
        <v>31500</v>
      </c>
      <c r="H9" s="123">
        <f t="shared" si="1"/>
        <v>166950</v>
      </c>
      <c r="I9" s="126">
        <f>228*17000</f>
        <v>3876000</v>
      </c>
      <c r="K9" s="194" t="s">
        <v>21</v>
      </c>
      <c r="L9" s="172">
        <f>N9/M9</f>
        <v>0.12202643171806167</v>
      </c>
      <c r="M9" s="37">
        <v>227</v>
      </c>
      <c r="N9" s="236" t="s">
        <v>112</v>
      </c>
      <c r="O9" s="160" t="s">
        <v>1</v>
      </c>
      <c r="P9" s="237">
        <v>21000</v>
      </c>
      <c r="Q9" s="161">
        <f>N9*P9</f>
        <v>581700</v>
      </c>
    </row>
    <row r="10" spans="1:17" s="120" customFormat="1" ht="15" customHeight="1">
      <c r="A10" s="280"/>
      <c r="B10" s="37" t="s">
        <v>11</v>
      </c>
      <c r="C10" s="37"/>
      <c r="D10" s="37"/>
      <c r="E10" s="163">
        <v>0.1</v>
      </c>
      <c r="F10" s="37" t="s">
        <v>1</v>
      </c>
      <c r="G10" s="122">
        <v>57750</v>
      </c>
      <c r="H10" s="123">
        <f t="shared" si="1"/>
        <v>5775</v>
      </c>
      <c r="K10" s="160" t="s">
        <v>146</v>
      </c>
      <c r="L10" s="143">
        <f t="shared" ref="L10:L12" si="2">N10/M10</f>
        <v>7.4889867841409691E-2</v>
      </c>
      <c r="M10" s="37">
        <v>227</v>
      </c>
      <c r="N10" s="236" t="s">
        <v>209</v>
      </c>
      <c r="O10" s="37" t="s">
        <v>1</v>
      </c>
      <c r="P10" s="237">
        <v>131250</v>
      </c>
      <c r="Q10" s="123">
        <f>P10*N10</f>
        <v>2231250</v>
      </c>
    </row>
    <row r="11" spans="1:17" s="120" customFormat="1" ht="15" customHeight="1">
      <c r="A11" s="281"/>
      <c r="B11" s="127" t="s">
        <v>24</v>
      </c>
      <c r="C11" s="127"/>
      <c r="D11" s="127"/>
      <c r="E11" s="242"/>
      <c r="F11" s="129"/>
      <c r="G11" s="127"/>
      <c r="H11" s="123">
        <f>144155+2035</f>
        <v>146190</v>
      </c>
      <c r="I11" s="120">
        <v>130426</v>
      </c>
      <c r="K11" s="37" t="s">
        <v>142</v>
      </c>
      <c r="L11" s="143">
        <f t="shared" si="2"/>
        <v>4.4052863436123352E-3</v>
      </c>
      <c r="M11" s="164">
        <v>227</v>
      </c>
      <c r="N11" s="163">
        <v>1</v>
      </c>
      <c r="O11" s="37" t="s">
        <v>3</v>
      </c>
      <c r="P11" s="122">
        <v>141750</v>
      </c>
      <c r="Q11" s="123">
        <f t="shared" ref="Q11" si="3">N11*P11</f>
        <v>141750</v>
      </c>
    </row>
    <row r="12" spans="1:17" s="149" customFormat="1" ht="18.600000000000001" customHeight="1">
      <c r="A12" s="150"/>
      <c r="B12" s="151"/>
      <c r="C12" s="152"/>
      <c r="D12" s="152"/>
      <c r="E12" s="243"/>
      <c r="F12" s="154"/>
      <c r="G12" s="151"/>
      <c r="H12" s="155">
        <f>SUM(H4:H11)</f>
        <v>3876000</v>
      </c>
      <c r="I12" s="184">
        <f>H12-I9</f>
        <v>0</v>
      </c>
      <c r="K12" s="37" t="s">
        <v>6</v>
      </c>
      <c r="L12" s="145">
        <f t="shared" si="2"/>
        <v>0.5506607929515418</v>
      </c>
      <c r="M12" s="164">
        <v>227</v>
      </c>
      <c r="N12" s="239" t="s">
        <v>208</v>
      </c>
      <c r="O12" s="37" t="s">
        <v>196</v>
      </c>
      <c r="P12" s="122">
        <v>3510</v>
      </c>
      <c r="Q12" s="123">
        <f>N12*P12</f>
        <v>438750</v>
      </c>
    </row>
    <row r="13" spans="1:17" s="120" customFormat="1" ht="15" customHeight="1">
      <c r="A13" s="124"/>
      <c r="B13" s="101" t="s">
        <v>10</v>
      </c>
      <c r="C13" s="103">
        <f>E13/D13</f>
        <v>0.12168141592920353</v>
      </c>
      <c r="D13" s="196">
        <v>226</v>
      </c>
      <c r="E13" s="187" t="s">
        <v>144</v>
      </c>
      <c r="F13" s="116" t="s">
        <v>1</v>
      </c>
      <c r="G13" s="142">
        <v>21000</v>
      </c>
      <c r="H13" s="240">
        <f>E13*G13</f>
        <v>577500</v>
      </c>
      <c r="I13" s="120">
        <f>4205303-3893000</f>
        <v>312303</v>
      </c>
      <c r="K13" s="37" t="s">
        <v>205</v>
      </c>
      <c r="L13" s="145"/>
      <c r="M13" s="37"/>
      <c r="N13" s="239" t="s">
        <v>150</v>
      </c>
      <c r="O13" s="37" t="s">
        <v>149</v>
      </c>
      <c r="P13" s="122">
        <v>75600</v>
      </c>
      <c r="Q13" s="123">
        <f>N13*P13</f>
        <v>151200</v>
      </c>
    </row>
    <row r="14" spans="1:17" s="120" customFormat="1" ht="15" customHeight="1">
      <c r="A14" s="280" t="s">
        <v>221</v>
      </c>
      <c r="B14" s="241" t="s">
        <v>120</v>
      </c>
      <c r="C14" s="104">
        <f>E14/D14</f>
        <v>0.10265486725663717</v>
      </c>
      <c r="D14" s="17">
        <v>226</v>
      </c>
      <c r="E14" s="41">
        <v>23.2</v>
      </c>
      <c r="F14" s="17" t="s">
        <v>1</v>
      </c>
      <c r="G14" s="18">
        <v>87150</v>
      </c>
      <c r="H14" s="240">
        <f>E14*G14</f>
        <v>2021880</v>
      </c>
      <c r="K14" s="37" t="s">
        <v>151</v>
      </c>
      <c r="L14" s="145"/>
      <c r="M14" s="37"/>
      <c r="N14" s="239" t="s">
        <v>150</v>
      </c>
      <c r="O14" s="37" t="s">
        <v>3</v>
      </c>
      <c r="P14" s="122">
        <v>44280</v>
      </c>
      <c r="Q14" s="123">
        <f>N14*P14</f>
        <v>88560</v>
      </c>
    </row>
    <row r="15" spans="1:17" s="120" customFormat="1" ht="19.2" customHeight="1">
      <c r="A15" s="280"/>
      <c r="B15" s="37" t="s">
        <v>33</v>
      </c>
      <c r="C15" s="37">
        <f t="shared" ref="C15:C16" si="4">E15/D15</f>
        <v>4.8230088495575224E-2</v>
      </c>
      <c r="D15" s="37">
        <v>226</v>
      </c>
      <c r="E15" s="239" t="s">
        <v>230</v>
      </c>
      <c r="F15" s="37" t="s">
        <v>1</v>
      </c>
      <c r="G15" s="122">
        <v>67200</v>
      </c>
      <c r="H15" s="240">
        <f t="shared" ref="H15:H21" si="5">E15*G15</f>
        <v>732480</v>
      </c>
      <c r="I15" s="126">
        <f>230*17000</f>
        <v>3910000</v>
      </c>
      <c r="K15" s="37" t="s">
        <v>207</v>
      </c>
      <c r="L15" s="145"/>
      <c r="M15" s="37"/>
      <c r="N15" s="239" t="s">
        <v>153</v>
      </c>
      <c r="O15" s="37" t="s">
        <v>3</v>
      </c>
      <c r="P15" s="122">
        <v>24150</v>
      </c>
      <c r="Q15" s="123">
        <f>N15*P15</f>
        <v>123164.99999999999</v>
      </c>
    </row>
    <row r="16" spans="1:17" s="120" customFormat="1" ht="15" customHeight="1">
      <c r="A16" s="280"/>
      <c r="B16" s="37" t="s">
        <v>142</v>
      </c>
      <c r="C16" s="143">
        <f t="shared" si="4"/>
        <v>4.4247787610619468E-3</v>
      </c>
      <c r="D16" s="164">
        <v>226</v>
      </c>
      <c r="E16" s="163">
        <v>1</v>
      </c>
      <c r="F16" s="37" t="s">
        <v>3</v>
      </c>
      <c r="G16" s="122">
        <v>141750</v>
      </c>
      <c r="H16" s="240">
        <f t="shared" si="5"/>
        <v>141750</v>
      </c>
      <c r="K16" s="37" t="s">
        <v>36</v>
      </c>
      <c r="L16" s="143"/>
      <c r="M16" s="37"/>
      <c r="N16" s="239" t="s">
        <v>41</v>
      </c>
      <c r="O16" s="37" t="s">
        <v>3</v>
      </c>
      <c r="P16" s="122">
        <v>36750</v>
      </c>
      <c r="Q16" s="123">
        <f t="shared" ref="Q16:Q17" si="6">N16*P16</f>
        <v>3675</v>
      </c>
    </row>
    <row r="17" spans="1:17" s="120" customFormat="1" ht="15" customHeight="1">
      <c r="A17" s="280"/>
      <c r="B17" s="196" t="s">
        <v>200</v>
      </c>
      <c r="C17" s="216"/>
      <c r="D17" s="196"/>
      <c r="E17" s="189" t="s">
        <v>202</v>
      </c>
      <c r="F17" s="196" t="s">
        <v>3</v>
      </c>
      <c r="G17" s="214">
        <v>25200</v>
      </c>
      <c r="H17" s="240">
        <f t="shared" si="5"/>
        <v>100800</v>
      </c>
      <c r="K17" s="37" t="s">
        <v>11</v>
      </c>
      <c r="L17" s="163"/>
      <c r="M17" s="37"/>
      <c r="N17" s="244">
        <v>0.1</v>
      </c>
      <c r="O17" s="37" t="s">
        <v>1</v>
      </c>
      <c r="P17" s="122">
        <v>57750</v>
      </c>
      <c r="Q17" s="123">
        <f t="shared" si="6"/>
        <v>5775</v>
      </c>
    </row>
    <row r="18" spans="1:17" s="120" customFormat="1" ht="15" customHeight="1">
      <c r="A18" s="280"/>
      <c r="B18" s="196" t="s">
        <v>201</v>
      </c>
      <c r="C18" s="216"/>
      <c r="D18" s="196"/>
      <c r="E18" s="189" t="s">
        <v>63</v>
      </c>
      <c r="F18" s="196" t="s">
        <v>1</v>
      </c>
      <c r="G18" s="214">
        <v>22050</v>
      </c>
      <c r="H18" s="240">
        <f t="shared" si="5"/>
        <v>110250</v>
      </c>
      <c r="K18" s="127" t="s">
        <v>24</v>
      </c>
      <c r="L18" s="127"/>
      <c r="M18" s="127"/>
      <c r="N18" s="242"/>
      <c r="O18" s="129"/>
      <c r="P18" s="127"/>
      <c r="Q18" s="133">
        <f>144155+20</f>
        <v>144175</v>
      </c>
    </row>
    <row r="19" spans="1:17" s="120" customFormat="1" ht="15" customHeight="1">
      <c r="A19" s="280"/>
      <c r="B19" s="196" t="s">
        <v>36</v>
      </c>
      <c r="C19" s="213"/>
      <c r="D19" s="196"/>
      <c r="E19" s="189" t="s">
        <v>41</v>
      </c>
      <c r="F19" s="196" t="s">
        <v>3</v>
      </c>
      <c r="G19" s="122">
        <v>36750</v>
      </c>
      <c r="H19" s="240">
        <f t="shared" si="5"/>
        <v>3675</v>
      </c>
    </row>
    <row r="20" spans="1:17" s="120" customFormat="1" ht="15" customHeight="1">
      <c r="A20" s="280"/>
      <c r="B20" s="196" t="s">
        <v>225</v>
      </c>
      <c r="C20" s="213"/>
      <c r="D20" s="196"/>
      <c r="E20" s="189" t="s">
        <v>41</v>
      </c>
      <c r="F20" s="196" t="s">
        <v>3</v>
      </c>
      <c r="G20" s="122">
        <v>47250</v>
      </c>
      <c r="H20" s="240">
        <f t="shared" ref="H20" si="7">E20*G20</f>
        <v>4725</v>
      </c>
    </row>
    <row r="21" spans="1:17" s="120" customFormat="1" ht="15" customHeight="1">
      <c r="A21" s="280"/>
      <c r="B21" s="196" t="s">
        <v>11</v>
      </c>
      <c r="C21" s="197"/>
      <c r="D21" s="196"/>
      <c r="E21" s="248">
        <v>0.1</v>
      </c>
      <c r="F21" s="196" t="s">
        <v>1</v>
      </c>
      <c r="G21" s="122">
        <v>57750</v>
      </c>
      <c r="H21" s="240">
        <f t="shared" si="5"/>
        <v>5775</v>
      </c>
    </row>
    <row r="22" spans="1:17" s="120" customFormat="1" ht="15" customHeight="1">
      <c r="A22" s="280"/>
      <c r="B22" s="217" t="s">
        <v>24</v>
      </c>
      <c r="C22" s="217"/>
      <c r="D22" s="217"/>
      <c r="E22" s="246"/>
      <c r="F22" s="219"/>
      <c r="G22" s="217"/>
      <c r="H22" s="240">
        <f>144155-1525+535</f>
        <v>143165</v>
      </c>
      <c r="I22" s="125">
        <f>D13*17000</f>
        <v>3842000</v>
      </c>
    </row>
    <row r="23" spans="1:17" s="156" customFormat="1" ht="20.399999999999999" customHeight="1">
      <c r="A23" s="258"/>
      <c r="B23" s="105"/>
      <c r="C23" s="105"/>
      <c r="D23" s="105"/>
      <c r="E23" s="259"/>
      <c r="F23" s="106"/>
      <c r="G23" s="105"/>
      <c r="H23" s="260">
        <f>SUM(H13:H22)</f>
        <v>3842000</v>
      </c>
      <c r="I23" s="184">
        <f>I22-H23</f>
        <v>0</v>
      </c>
    </row>
    <row r="24" spans="1:17" s="134" customFormat="1" ht="20.399999999999999" customHeight="1">
      <c r="A24" s="283" t="s">
        <v>222</v>
      </c>
      <c r="B24" s="194" t="s">
        <v>21</v>
      </c>
      <c r="C24" s="172">
        <f>E24/D24</f>
        <v>0.12202643171806167</v>
      </c>
      <c r="D24" s="37">
        <v>227</v>
      </c>
      <c r="E24" s="236" t="s">
        <v>112</v>
      </c>
      <c r="F24" s="160" t="s">
        <v>1</v>
      </c>
      <c r="G24" s="237">
        <v>21000</v>
      </c>
      <c r="H24" s="161">
        <f>E24*G24</f>
        <v>581700</v>
      </c>
      <c r="I24" s="198"/>
    </row>
    <row r="25" spans="1:17" s="134" customFormat="1" ht="20.399999999999999" customHeight="1">
      <c r="A25" s="284"/>
      <c r="B25" s="160" t="s">
        <v>146</v>
      </c>
      <c r="C25" s="143">
        <f t="shared" ref="C25:C27" si="8">E25/D25</f>
        <v>7.0484581497797363E-2</v>
      </c>
      <c r="D25" s="37">
        <v>227</v>
      </c>
      <c r="E25" s="236" t="s">
        <v>88</v>
      </c>
      <c r="F25" s="37" t="s">
        <v>1</v>
      </c>
      <c r="G25" s="237">
        <v>131250</v>
      </c>
      <c r="H25" s="123">
        <f>G25*E25</f>
        <v>2100000</v>
      </c>
      <c r="I25" s="198"/>
    </row>
    <row r="26" spans="1:17" s="134" customFormat="1" ht="20.399999999999999" customHeight="1">
      <c r="A26" s="284"/>
      <c r="B26" s="37" t="s">
        <v>142</v>
      </c>
      <c r="C26" s="143">
        <f t="shared" si="8"/>
        <v>4.4052863436123352E-3</v>
      </c>
      <c r="D26" s="164">
        <v>227</v>
      </c>
      <c r="E26" s="163">
        <v>1</v>
      </c>
      <c r="F26" s="37" t="s">
        <v>3</v>
      </c>
      <c r="G26" s="122">
        <v>141750</v>
      </c>
      <c r="H26" s="123">
        <f t="shared" ref="H26" si="9">E26*G26</f>
        <v>141750</v>
      </c>
      <c r="I26" s="198"/>
    </row>
    <row r="27" spans="1:17" s="134" customFormat="1" ht="20.399999999999999" customHeight="1">
      <c r="A27" s="284"/>
      <c r="B27" s="37" t="s">
        <v>6</v>
      </c>
      <c r="C27" s="145">
        <f t="shared" si="8"/>
        <v>0.55947136563876654</v>
      </c>
      <c r="D27" s="164">
        <v>227</v>
      </c>
      <c r="E27" s="239" t="s">
        <v>226</v>
      </c>
      <c r="F27" s="37" t="s">
        <v>196</v>
      </c>
      <c r="G27" s="122">
        <v>3510</v>
      </c>
      <c r="H27" s="123">
        <f>E27*G27</f>
        <v>445770</v>
      </c>
      <c r="I27" s="198">
        <f>228*17000</f>
        <v>3876000</v>
      </c>
    </row>
    <row r="28" spans="1:17" s="134" customFormat="1" ht="20.399999999999999" customHeight="1">
      <c r="A28" s="284"/>
      <c r="B28" s="37" t="s">
        <v>205</v>
      </c>
      <c r="C28" s="145"/>
      <c r="D28" s="37"/>
      <c r="E28" s="239" t="s">
        <v>43</v>
      </c>
      <c r="F28" s="37" t="s">
        <v>149</v>
      </c>
      <c r="G28" s="122">
        <v>75600</v>
      </c>
      <c r="H28" s="123">
        <f>E28*G28</f>
        <v>226800</v>
      </c>
      <c r="I28" s="198"/>
    </row>
    <row r="29" spans="1:17" s="134" customFormat="1" ht="20.399999999999999" customHeight="1">
      <c r="A29" s="284"/>
      <c r="B29" s="37" t="s">
        <v>151</v>
      </c>
      <c r="C29" s="145"/>
      <c r="D29" s="37"/>
      <c r="E29" s="239" t="s">
        <v>150</v>
      </c>
      <c r="F29" s="37" t="s">
        <v>3</v>
      </c>
      <c r="G29" s="122">
        <v>44280</v>
      </c>
      <c r="H29" s="123">
        <f>E29*G29</f>
        <v>88560</v>
      </c>
      <c r="I29" s="198"/>
    </row>
    <row r="30" spans="1:17" s="134" customFormat="1" ht="20.399999999999999" customHeight="1">
      <c r="A30" s="284"/>
      <c r="B30" s="37" t="s">
        <v>207</v>
      </c>
      <c r="C30" s="145"/>
      <c r="D30" s="37"/>
      <c r="E30" s="239" t="s">
        <v>63</v>
      </c>
      <c r="F30" s="37" t="s">
        <v>3</v>
      </c>
      <c r="G30" s="122">
        <v>24150</v>
      </c>
      <c r="H30" s="123">
        <f>E30*G30</f>
        <v>120750</v>
      </c>
      <c r="I30" s="198">
        <f>H33-I27</f>
        <v>-3731780</v>
      </c>
    </row>
    <row r="31" spans="1:17" s="134" customFormat="1" ht="20.399999999999999" customHeight="1">
      <c r="A31" s="284"/>
      <c r="B31" s="37" t="s">
        <v>36</v>
      </c>
      <c r="C31" s="143"/>
      <c r="D31" s="37"/>
      <c r="E31" s="239" t="s">
        <v>41</v>
      </c>
      <c r="F31" s="37" t="s">
        <v>3</v>
      </c>
      <c r="G31" s="122">
        <v>36750</v>
      </c>
      <c r="H31" s="123">
        <f t="shared" ref="H31:H32" si="10">E31*G31</f>
        <v>3675</v>
      </c>
      <c r="I31" s="198"/>
    </row>
    <row r="32" spans="1:17" s="134" customFormat="1" ht="20.399999999999999" customHeight="1">
      <c r="A32" s="285"/>
      <c r="B32" s="37" t="s">
        <v>11</v>
      </c>
      <c r="C32" s="163"/>
      <c r="D32" s="37"/>
      <c r="E32" s="244">
        <v>0.1</v>
      </c>
      <c r="F32" s="37" t="s">
        <v>1</v>
      </c>
      <c r="G32" s="122">
        <v>57750</v>
      </c>
      <c r="H32" s="123">
        <f t="shared" si="10"/>
        <v>5775</v>
      </c>
      <c r="I32" s="198"/>
    </row>
    <row r="33" spans="1:9" s="134" customFormat="1" ht="20.399999999999999" customHeight="1">
      <c r="A33" s="199"/>
      <c r="B33" s="127" t="s">
        <v>24</v>
      </c>
      <c r="C33" s="127"/>
      <c r="D33" s="127"/>
      <c r="E33" s="242"/>
      <c r="F33" s="129"/>
      <c r="G33" s="127"/>
      <c r="H33" s="133">
        <f>144155+65</f>
        <v>144220</v>
      </c>
      <c r="I33" s="198">
        <f>D24*17000</f>
        <v>3859000</v>
      </c>
    </row>
    <row r="34" spans="1:9" s="156" customFormat="1" ht="20.399999999999999" customHeight="1">
      <c r="A34" s="258"/>
      <c r="B34" s="253"/>
      <c r="C34" s="253"/>
      <c r="D34" s="254"/>
      <c r="E34" s="255"/>
      <c r="F34" s="256"/>
      <c r="G34" s="253"/>
      <c r="H34" s="257">
        <f>SUM(H24:H33)</f>
        <v>3859000</v>
      </c>
      <c r="I34" s="184">
        <f>H34-I33</f>
        <v>0</v>
      </c>
    </row>
    <row r="35" spans="1:9" s="134" customFormat="1" ht="20.399999999999999" customHeight="1">
      <c r="A35" s="282"/>
      <c r="B35" s="114" t="s">
        <v>10</v>
      </c>
      <c r="C35" s="261">
        <f>E35/D35</f>
        <v>0.12168141592920353</v>
      </c>
      <c r="D35" s="37">
        <v>226</v>
      </c>
      <c r="E35" s="185">
        <v>27.5</v>
      </c>
      <c r="F35" s="195" t="s">
        <v>1</v>
      </c>
      <c r="G35" s="117">
        <v>21000</v>
      </c>
      <c r="H35" s="262">
        <f>E35*G35</f>
        <v>577500</v>
      </c>
      <c r="I35" s="198"/>
    </row>
    <row r="36" spans="1:9" s="134" customFormat="1" ht="20.399999999999999" customHeight="1">
      <c r="A36" s="282"/>
      <c r="B36" s="196" t="s">
        <v>37</v>
      </c>
      <c r="C36" s="196">
        <f>E36/D36</f>
        <v>5.6194690265486721E-2</v>
      </c>
      <c r="D36" s="37">
        <v>226</v>
      </c>
      <c r="E36" s="197">
        <v>12.7</v>
      </c>
      <c r="F36" s="196" t="s">
        <v>1</v>
      </c>
      <c r="G36" s="214">
        <v>169560</v>
      </c>
      <c r="H36" s="215">
        <f>E36*G36</f>
        <v>2153412</v>
      </c>
      <c r="I36" s="198"/>
    </row>
    <row r="37" spans="1:9" s="134" customFormat="1" ht="20.399999999999999" customHeight="1">
      <c r="A37" s="282"/>
      <c r="B37" s="196" t="s">
        <v>38</v>
      </c>
      <c r="C37" s="196">
        <f t="shared" ref="C37:C39" si="11">E37/D37</f>
        <v>0.55309734513274333</v>
      </c>
      <c r="D37" s="164">
        <v>226</v>
      </c>
      <c r="E37" s="197">
        <v>125</v>
      </c>
      <c r="F37" s="196" t="s">
        <v>1</v>
      </c>
      <c r="G37" s="214">
        <v>3456</v>
      </c>
      <c r="H37" s="215">
        <f t="shared" ref="H37:H43" si="12">E37*G37</f>
        <v>432000</v>
      </c>
      <c r="I37" s="198"/>
    </row>
    <row r="38" spans="1:9" s="134" customFormat="1" ht="20.399999999999999" customHeight="1">
      <c r="A38" s="276" t="s">
        <v>223</v>
      </c>
      <c r="B38" s="196" t="s">
        <v>39</v>
      </c>
      <c r="C38" s="196">
        <f t="shared" si="11"/>
        <v>2.2123893805309734E-2</v>
      </c>
      <c r="D38" s="164">
        <v>226</v>
      </c>
      <c r="E38" s="197">
        <v>5</v>
      </c>
      <c r="F38" s="196" t="s">
        <v>1</v>
      </c>
      <c r="G38" s="214">
        <v>25200</v>
      </c>
      <c r="H38" s="215">
        <f t="shared" si="12"/>
        <v>126000</v>
      </c>
      <c r="I38" s="198" t="s">
        <v>229</v>
      </c>
    </row>
    <row r="39" spans="1:9" s="134" customFormat="1" ht="20.399999999999999" customHeight="1">
      <c r="A39" s="276"/>
      <c r="B39" s="196" t="s">
        <v>71</v>
      </c>
      <c r="C39" s="213">
        <f t="shared" si="11"/>
        <v>1.3274336283185841E-2</v>
      </c>
      <c r="D39" s="164">
        <v>226</v>
      </c>
      <c r="E39" s="197">
        <v>3</v>
      </c>
      <c r="F39" s="196" t="s">
        <v>3</v>
      </c>
      <c r="G39" s="214">
        <v>78750</v>
      </c>
      <c r="H39" s="215">
        <f t="shared" si="12"/>
        <v>236250</v>
      </c>
      <c r="I39" s="198"/>
    </row>
    <row r="40" spans="1:9" s="134" customFormat="1" ht="20.399999999999999" customHeight="1">
      <c r="A40" s="276"/>
      <c r="B40" s="196" t="s">
        <v>50</v>
      </c>
      <c r="C40" s="197"/>
      <c r="D40" s="196"/>
      <c r="E40" s="197">
        <v>0.1</v>
      </c>
      <c r="F40" s="196" t="s">
        <v>3</v>
      </c>
      <c r="G40" s="214">
        <v>36750</v>
      </c>
      <c r="H40" s="215">
        <f t="shared" si="12"/>
        <v>3675</v>
      </c>
      <c r="I40" s="198"/>
    </row>
    <row r="41" spans="1:9" s="134" customFormat="1" ht="20.399999999999999" customHeight="1">
      <c r="A41" s="276"/>
      <c r="B41" s="263" t="s">
        <v>227</v>
      </c>
      <c r="C41" s="197"/>
      <c r="D41" s="264"/>
      <c r="E41" s="265">
        <v>8.4</v>
      </c>
      <c r="F41" s="196" t="s">
        <v>1</v>
      </c>
      <c r="G41" s="214">
        <v>18900</v>
      </c>
      <c r="H41" s="215">
        <f t="shared" si="12"/>
        <v>158760</v>
      </c>
      <c r="I41" s="198"/>
    </row>
    <row r="42" spans="1:9" s="134" customFormat="1" ht="20.399999999999999" customHeight="1">
      <c r="A42" s="221"/>
      <c r="B42" s="263" t="s">
        <v>228</v>
      </c>
      <c r="C42" s="197"/>
      <c r="D42" s="264"/>
      <c r="E42" s="265">
        <v>0.1</v>
      </c>
      <c r="F42" s="196" t="s">
        <v>3</v>
      </c>
      <c r="G42" s="214">
        <v>42000</v>
      </c>
      <c r="H42" s="215">
        <f t="shared" si="12"/>
        <v>4200</v>
      </c>
      <c r="I42" s="198"/>
    </row>
    <row r="43" spans="1:9" s="134" customFormat="1" ht="20.399999999999999" customHeight="1">
      <c r="A43" s="252"/>
      <c r="B43" s="196" t="s">
        <v>11</v>
      </c>
      <c r="C43" s="196"/>
      <c r="D43" s="196"/>
      <c r="E43" s="197">
        <v>0.1</v>
      </c>
      <c r="F43" s="196" t="s">
        <v>1</v>
      </c>
      <c r="G43" s="214">
        <v>57750</v>
      </c>
      <c r="H43" s="215">
        <f t="shared" si="12"/>
        <v>5775</v>
      </c>
      <c r="I43" s="198"/>
    </row>
    <row r="44" spans="1:9" s="134" customFormat="1" ht="20.399999999999999" customHeight="1">
      <c r="A44" s="252"/>
      <c r="B44" s="217" t="s">
        <v>24</v>
      </c>
      <c r="C44" s="217"/>
      <c r="D44" s="217"/>
      <c r="E44" s="218"/>
      <c r="F44" s="219"/>
      <c r="G44" s="217"/>
      <c r="H44" s="220">
        <f>144155+491+218</f>
        <v>144864</v>
      </c>
      <c r="I44" s="198">
        <f>D35*17000</f>
        <v>3842000</v>
      </c>
    </row>
    <row r="45" spans="1:9" s="156" customFormat="1" ht="20.399999999999999" customHeight="1">
      <c r="A45" s="258"/>
      <c r="B45" s="270"/>
      <c r="C45" s="271"/>
      <c r="D45" s="272"/>
      <c r="E45" s="273"/>
      <c r="F45" s="270"/>
      <c r="G45" s="274"/>
      <c r="H45" s="275">
        <f>SUM(H35:H44)</f>
        <v>3842436</v>
      </c>
      <c r="I45" s="184">
        <f>H45-I44</f>
        <v>436</v>
      </c>
    </row>
    <row r="46" spans="1:9" s="134" customFormat="1" ht="15" customHeight="1">
      <c r="A46" s="276" t="s">
        <v>224</v>
      </c>
      <c r="B46" s="195" t="s">
        <v>21</v>
      </c>
      <c r="C46" s="266">
        <f>E46/D46</f>
        <v>0.12168141592920353</v>
      </c>
      <c r="D46" s="37">
        <v>226</v>
      </c>
      <c r="E46" s="187" t="s">
        <v>144</v>
      </c>
      <c r="F46" s="195" t="s">
        <v>1</v>
      </c>
      <c r="G46" s="267">
        <v>21000</v>
      </c>
      <c r="H46" s="262">
        <f>E46*G46</f>
        <v>577500</v>
      </c>
      <c r="I46" s="222"/>
    </row>
    <row r="47" spans="1:9" s="134" customFormat="1" ht="24.6" customHeight="1">
      <c r="A47" s="276"/>
      <c r="B47" s="196" t="s">
        <v>80</v>
      </c>
      <c r="C47" s="213">
        <f t="shared" ref="C47:C51" si="13">E47/D47</f>
        <v>6.2831858407079638E-2</v>
      </c>
      <c r="D47" s="37">
        <v>226</v>
      </c>
      <c r="E47" s="197">
        <v>14.2</v>
      </c>
      <c r="F47" s="196" t="s">
        <v>1</v>
      </c>
      <c r="G47" s="214">
        <v>140700</v>
      </c>
      <c r="H47" s="215">
        <f>E47*G47-1892</f>
        <v>1996048</v>
      </c>
    </row>
    <row r="48" spans="1:9" s="134" customFormat="1" ht="15" customHeight="1">
      <c r="A48" s="276"/>
      <c r="B48" s="196" t="s">
        <v>185</v>
      </c>
      <c r="C48" s="216">
        <f t="shared" si="13"/>
        <v>3.5398230088495575E-2</v>
      </c>
      <c r="D48" s="164">
        <v>226</v>
      </c>
      <c r="E48" s="192" t="s">
        <v>22</v>
      </c>
      <c r="F48" s="196" t="s">
        <v>1</v>
      </c>
      <c r="G48" s="214">
        <v>81900</v>
      </c>
      <c r="H48" s="215">
        <f>E48*G48</f>
        <v>655200</v>
      </c>
    </row>
    <row r="49" spans="1:9" s="134" customFormat="1" ht="15" customHeight="1">
      <c r="A49" s="276"/>
      <c r="B49" s="196" t="s">
        <v>40</v>
      </c>
      <c r="C49" s="216">
        <f t="shared" si="13"/>
        <v>4.4247787610619468E-3</v>
      </c>
      <c r="D49" s="164">
        <v>226</v>
      </c>
      <c r="E49" s="189" t="s">
        <v>25</v>
      </c>
      <c r="F49" s="196" t="s">
        <v>1</v>
      </c>
      <c r="G49" s="214">
        <v>173250</v>
      </c>
      <c r="H49" s="215">
        <f t="shared" ref="H49:H54" si="14">E49*G49</f>
        <v>173250</v>
      </c>
    </row>
    <row r="50" spans="1:9" s="134" customFormat="1" ht="15" customHeight="1">
      <c r="A50" s="221"/>
      <c r="B50" s="37" t="s">
        <v>205</v>
      </c>
      <c r="C50" s="145">
        <f t="shared" si="13"/>
        <v>8.8495575221238937E-3</v>
      </c>
      <c r="D50" s="37">
        <v>226</v>
      </c>
      <c r="E50" s="239" t="s">
        <v>150</v>
      </c>
      <c r="F50" s="37" t="s">
        <v>149</v>
      </c>
      <c r="G50" s="122">
        <v>75600</v>
      </c>
      <c r="H50" s="123">
        <f>E50*G50</f>
        <v>151200</v>
      </c>
    </row>
    <row r="51" spans="1:9" s="134" customFormat="1" ht="15" customHeight="1">
      <c r="A51" s="221"/>
      <c r="B51" s="196" t="s">
        <v>186</v>
      </c>
      <c r="C51" s="216">
        <f t="shared" si="13"/>
        <v>1.3274336283185841E-2</v>
      </c>
      <c r="D51" s="164">
        <v>226</v>
      </c>
      <c r="E51" s="189" t="s">
        <v>43</v>
      </c>
      <c r="F51" s="196" t="s">
        <v>3</v>
      </c>
      <c r="G51" s="214">
        <v>23100</v>
      </c>
      <c r="H51" s="215">
        <f t="shared" si="14"/>
        <v>69300</v>
      </c>
    </row>
    <row r="52" spans="1:9" s="134" customFormat="1" ht="15" customHeight="1">
      <c r="A52" s="221"/>
      <c r="B52" s="196" t="s">
        <v>187</v>
      </c>
      <c r="C52" s="209"/>
      <c r="D52" s="268"/>
      <c r="E52" s="189" t="s">
        <v>150</v>
      </c>
      <c r="F52" s="196" t="s">
        <v>3</v>
      </c>
      <c r="G52" s="214">
        <v>31500</v>
      </c>
      <c r="H52" s="215">
        <f t="shared" si="14"/>
        <v>63000</v>
      </c>
    </row>
    <row r="53" spans="1:9" s="134" customFormat="1" ht="15" customHeight="1">
      <c r="A53" s="221"/>
      <c r="B53" s="196" t="s">
        <v>61</v>
      </c>
      <c r="C53" s="269"/>
      <c r="D53" s="196"/>
      <c r="E53" s="189" t="s">
        <v>41</v>
      </c>
      <c r="F53" s="196" t="s">
        <v>1</v>
      </c>
      <c r="G53" s="214">
        <v>60900</v>
      </c>
      <c r="H53" s="215">
        <f t="shared" si="14"/>
        <v>6090</v>
      </c>
    </row>
    <row r="54" spans="1:9" s="134" customFormat="1" ht="15" customHeight="1">
      <c r="A54" s="221"/>
      <c r="B54" s="196" t="s">
        <v>75</v>
      </c>
      <c r="C54" s="217"/>
      <c r="D54" s="196"/>
      <c r="E54" s="189" t="s">
        <v>41</v>
      </c>
      <c r="F54" s="196" t="s">
        <v>1</v>
      </c>
      <c r="G54" s="214">
        <v>42000</v>
      </c>
      <c r="H54" s="215">
        <f t="shared" si="14"/>
        <v>4200</v>
      </c>
    </row>
    <row r="55" spans="1:9" s="134" customFormat="1" ht="15" customHeight="1">
      <c r="A55" s="221"/>
      <c r="B55" s="217" t="s">
        <v>24</v>
      </c>
      <c r="C55" s="217"/>
      <c r="D55" s="217"/>
      <c r="E55" s="246"/>
      <c r="F55" s="219"/>
      <c r="G55" s="217"/>
      <c r="H55" s="220">
        <f>144155+787+1270</f>
        <v>146212</v>
      </c>
    </row>
    <row r="56" spans="1:9" s="156" customFormat="1" ht="19.8" customHeight="1">
      <c r="A56" s="201"/>
      <c r="B56" s="177"/>
      <c r="C56" s="177"/>
      <c r="D56" s="177"/>
      <c r="E56" s="190"/>
      <c r="F56" s="202"/>
      <c r="G56" s="177"/>
      <c r="H56" s="203">
        <f>SUM(H46:H55)</f>
        <v>3842000</v>
      </c>
      <c r="I56" s="184">
        <f>D47*17000</f>
        <v>3842000</v>
      </c>
    </row>
    <row r="57" spans="1:9">
      <c r="A57" s="110"/>
      <c r="B57" s="110"/>
      <c r="C57" s="110"/>
      <c r="D57" s="110"/>
      <c r="E57" s="249"/>
      <c r="I57" s="30">
        <f>H56-I56</f>
        <v>0</v>
      </c>
    </row>
    <row r="58" spans="1:9" ht="18">
      <c r="A58" s="277" t="s">
        <v>26</v>
      </c>
      <c r="B58" s="277"/>
      <c r="C58" s="277" t="s">
        <v>27</v>
      </c>
      <c r="D58" s="277"/>
      <c r="E58" s="277"/>
      <c r="F58" s="1"/>
      <c r="G58" s="277" t="s">
        <v>28</v>
      </c>
      <c r="H58" s="277"/>
    </row>
    <row r="59" spans="1:9" ht="18">
      <c r="A59" s="33"/>
      <c r="B59" s="33"/>
      <c r="C59" s="33"/>
      <c r="D59" s="33"/>
      <c r="E59" s="33"/>
      <c r="F59" s="1"/>
      <c r="G59" s="33"/>
      <c r="H59" s="33"/>
    </row>
    <row r="60" spans="1:9" ht="18">
      <c r="A60" s="33"/>
      <c r="B60" s="33"/>
      <c r="C60" s="33"/>
      <c r="D60" s="33"/>
      <c r="E60" s="33"/>
      <c r="F60" s="1"/>
      <c r="G60" s="33"/>
      <c r="H60" s="33"/>
    </row>
    <row r="61" spans="1:9" ht="18">
      <c r="A61" s="33"/>
      <c r="B61" s="33"/>
      <c r="C61" s="33"/>
      <c r="D61" s="33"/>
      <c r="E61" s="33"/>
      <c r="F61" s="1"/>
      <c r="G61" s="33"/>
      <c r="H61" s="33"/>
    </row>
    <row r="62" spans="1:9" ht="18">
      <c r="A62" s="33"/>
      <c r="B62" s="33"/>
      <c r="C62" s="33"/>
      <c r="D62" s="33"/>
      <c r="E62" s="33"/>
      <c r="F62" s="1"/>
      <c r="G62" s="33"/>
      <c r="H62" s="33"/>
    </row>
    <row r="63" spans="1:9" ht="18">
      <c r="A63" s="33"/>
      <c r="B63" s="33"/>
      <c r="C63" s="33"/>
      <c r="D63" s="33"/>
      <c r="E63" s="33"/>
      <c r="F63" s="1"/>
      <c r="G63" s="33"/>
      <c r="H63" s="33"/>
    </row>
    <row r="64" spans="1:9" ht="18">
      <c r="A64" s="33"/>
      <c r="B64" s="33"/>
      <c r="C64" s="33"/>
      <c r="D64" s="33"/>
      <c r="E64" s="33"/>
      <c r="F64" s="1"/>
      <c r="G64" s="33"/>
      <c r="H64" s="33"/>
    </row>
    <row r="65" spans="1:9" ht="15.6">
      <c r="A65" s="6" t="s">
        <v>0</v>
      </c>
      <c r="B65" s="6"/>
    </row>
    <row r="66" spans="1:9" s="113" customFormat="1" ht="16.8" customHeight="1">
      <c r="A66" s="277" t="s">
        <v>192</v>
      </c>
      <c r="B66" s="277"/>
      <c r="C66" s="277"/>
      <c r="D66" s="277"/>
      <c r="E66" s="277"/>
      <c r="F66" s="277"/>
      <c r="G66" s="277"/>
      <c r="H66" s="277"/>
      <c r="I66" s="182">
        <f>1996200/15</f>
        <v>133080</v>
      </c>
    </row>
    <row r="67" spans="1:9" s="113" customFormat="1" ht="16.2" customHeight="1">
      <c r="A67" s="112"/>
      <c r="B67" s="278" t="s">
        <v>203</v>
      </c>
      <c r="C67" s="278"/>
      <c r="D67" s="278"/>
      <c r="E67" s="278"/>
      <c r="F67" s="278"/>
      <c r="G67" s="278"/>
      <c r="H67" s="278"/>
    </row>
    <row r="68" spans="1:9" s="120" customFormat="1" ht="15" customHeight="1">
      <c r="A68" s="279" t="s">
        <v>206</v>
      </c>
      <c r="B68" s="194" t="s">
        <v>10</v>
      </c>
      <c r="C68" s="115">
        <f>E68/D68</f>
        <v>0.12043478260869565</v>
      </c>
      <c r="D68" s="37">
        <v>230</v>
      </c>
      <c r="E68" s="157">
        <v>27.7</v>
      </c>
      <c r="F68" s="116" t="s">
        <v>1</v>
      </c>
      <c r="G68" s="238">
        <v>21000</v>
      </c>
      <c r="H68" s="118">
        <f>E68*G68</f>
        <v>581700</v>
      </c>
      <c r="I68" s="183" t="e">
        <f>#REF!-#REF!</f>
        <v>#REF!</v>
      </c>
    </row>
    <row r="69" spans="1:9" s="120" customFormat="1" ht="15" customHeight="1">
      <c r="A69" s="280"/>
      <c r="B69" s="37" t="s">
        <v>5</v>
      </c>
      <c r="C69" s="37">
        <f>E69/D69</f>
        <v>7.0434782608695651E-2</v>
      </c>
      <c r="D69" s="37">
        <v>230</v>
      </c>
      <c r="E69" s="163">
        <v>16.2</v>
      </c>
      <c r="F69" s="37" t="s">
        <v>1</v>
      </c>
      <c r="G69" s="122">
        <v>141750</v>
      </c>
      <c r="H69" s="123">
        <f>E69*G69</f>
        <v>2296350</v>
      </c>
      <c r="I69" s="125">
        <f>230*17000</f>
        <v>3910000</v>
      </c>
    </row>
    <row r="70" spans="1:9" s="120" customFormat="1" ht="15" customHeight="1">
      <c r="A70" s="280"/>
      <c r="B70" s="37" t="s">
        <v>31</v>
      </c>
      <c r="C70" s="37">
        <f t="shared" ref="C70:C71" si="15">E70/D70</f>
        <v>3.0434782608695652E-3</v>
      </c>
      <c r="D70" s="37">
        <v>230</v>
      </c>
      <c r="E70" s="239" t="s">
        <v>32</v>
      </c>
      <c r="F70" s="37" t="s">
        <v>1</v>
      </c>
      <c r="G70" s="122">
        <v>304500</v>
      </c>
      <c r="H70" s="123">
        <f t="shared" ref="H70:H74" si="16">E70*G70</f>
        <v>213150</v>
      </c>
    </row>
    <row r="71" spans="1:9" s="120" customFormat="1" ht="15" customHeight="1">
      <c r="A71" s="280"/>
      <c r="B71" s="37" t="s">
        <v>33</v>
      </c>
      <c r="C71" s="37">
        <f t="shared" si="15"/>
        <v>3.2173913043478261E-2</v>
      </c>
      <c r="D71" s="37">
        <v>230</v>
      </c>
      <c r="E71" s="239" t="s">
        <v>129</v>
      </c>
      <c r="F71" s="37" t="s">
        <v>1</v>
      </c>
      <c r="G71" s="122">
        <v>67200</v>
      </c>
      <c r="H71" s="123">
        <f t="shared" si="16"/>
        <v>497280</v>
      </c>
      <c r="I71" s="135">
        <f>I69-H76</f>
        <v>0</v>
      </c>
    </row>
    <row r="72" spans="1:9" s="120" customFormat="1" ht="15" customHeight="1">
      <c r="A72" s="280"/>
      <c r="B72" s="37" t="s">
        <v>50</v>
      </c>
      <c r="C72" s="163"/>
      <c r="D72" s="37"/>
      <c r="E72" s="163">
        <v>0.1</v>
      </c>
      <c r="F72" s="37" t="s">
        <v>3</v>
      </c>
      <c r="G72" s="122">
        <v>36750</v>
      </c>
      <c r="H72" s="123">
        <f t="shared" si="16"/>
        <v>3675</v>
      </c>
    </row>
    <row r="73" spans="1:9" s="120" customFormat="1" ht="15" customHeight="1">
      <c r="A73" s="280"/>
      <c r="B73" s="37" t="s">
        <v>152</v>
      </c>
      <c r="C73" s="145"/>
      <c r="D73" s="37"/>
      <c r="E73" s="239" t="s">
        <v>156</v>
      </c>
      <c r="F73" s="37" t="s">
        <v>1</v>
      </c>
      <c r="G73" s="122">
        <v>31500</v>
      </c>
      <c r="H73" s="123">
        <f t="shared" si="16"/>
        <v>166950</v>
      </c>
    </row>
    <row r="74" spans="1:9" s="120" customFormat="1" ht="15" customHeight="1">
      <c r="A74" s="280"/>
      <c r="B74" s="37" t="s">
        <v>11</v>
      </c>
      <c r="C74" s="37"/>
      <c r="D74" s="37"/>
      <c r="E74" s="163">
        <v>0.1</v>
      </c>
      <c r="F74" s="37" t="s">
        <v>1</v>
      </c>
      <c r="G74" s="122">
        <v>57750</v>
      </c>
      <c r="H74" s="123">
        <f t="shared" si="16"/>
        <v>5775</v>
      </c>
    </row>
    <row r="75" spans="1:9" s="120" customFormat="1" ht="15" customHeight="1">
      <c r="A75" s="281"/>
      <c r="B75" s="127" t="s">
        <v>24</v>
      </c>
      <c r="C75" s="127"/>
      <c r="D75" s="127"/>
      <c r="E75" s="242"/>
      <c r="F75" s="129"/>
      <c r="G75" s="127"/>
      <c r="H75" s="123">
        <f>144155+965</f>
        <v>145120</v>
      </c>
      <c r="I75" s="120">
        <v>130426</v>
      </c>
    </row>
    <row r="76" spans="1:9" s="149" customFormat="1" ht="18.600000000000001" customHeight="1">
      <c r="A76" s="150"/>
      <c r="B76" s="151"/>
      <c r="C76" s="152"/>
      <c r="D76" s="152"/>
      <c r="E76" s="243"/>
      <c r="F76" s="154"/>
      <c r="G76" s="151"/>
      <c r="H76" s="155">
        <f>SUM(H68:H75)</f>
        <v>3910000</v>
      </c>
      <c r="I76" s="184">
        <f>H76-I69</f>
        <v>0</v>
      </c>
    </row>
    <row r="77" spans="1:9" s="120" customFormat="1" ht="15" customHeight="1">
      <c r="A77" s="124"/>
      <c r="B77" s="194" t="s">
        <v>21</v>
      </c>
      <c r="C77" s="172">
        <f>E77/D77</f>
        <v>0.12043478260869565</v>
      </c>
      <c r="D77" s="37">
        <v>230</v>
      </c>
      <c r="E77" s="236" t="s">
        <v>112</v>
      </c>
      <c r="F77" s="160" t="s">
        <v>1</v>
      </c>
      <c r="G77" s="237">
        <v>21000</v>
      </c>
      <c r="H77" s="161">
        <f>E77*G77</f>
        <v>581700</v>
      </c>
      <c r="I77" s="120">
        <f>4205303-3893000</f>
        <v>312303</v>
      </c>
    </row>
    <row r="78" spans="1:9" s="120" customFormat="1" ht="15" customHeight="1">
      <c r="A78" s="280" t="s">
        <v>204</v>
      </c>
      <c r="B78" s="160" t="s">
        <v>146</v>
      </c>
      <c r="C78" s="143">
        <f t="shared" ref="C78:C80" si="17">E78/D78</f>
        <v>7.3913043478260873E-2</v>
      </c>
      <c r="D78" s="37">
        <v>230</v>
      </c>
      <c r="E78" s="236" t="s">
        <v>209</v>
      </c>
      <c r="F78" s="37" t="s">
        <v>1</v>
      </c>
      <c r="G78" s="237">
        <v>131250</v>
      </c>
      <c r="H78" s="123">
        <f>G78*E78</f>
        <v>2231250</v>
      </c>
    </row>
    <row r="79" spans="1:9" s="120" customFormat="1" ht="19.2" customHeight="1">
      <c r="A79" s="280"/>
      <c r="B79" s="37" t="s">
        <v>142</v>
      </c>
      <c r="C79" s="143">
        <f t="shared" si="17"/>
        <v>4.3478260869565218E-3</v>
      </c>
      <c r="D79" s="164">
        <v>230</v>
      </c>
      <c r="E79" s="163">
        <v>1</v>
      </c>
      <c r="F79" s="37" t="s">
        <v>3</v>
      </c>
      <c r="G79" s="122">
        <v>141750</v>
      </c>
      <c r="H79" s="123">
        <f t="shared" ref="H79" si="18">E79*G79</f>
        <v>141750</v>
      </c>
      <c r="I79" s="126">
        <f>230*17000</f>
        <v>3910000</v>
      </c>
    </row>
    <row r="80" spans="1:9" s="120" customFormat="1" ht="15" customHeight="1">
      <c r="A80" s="280"/>
      <c r="B80" s="37" t="s">
        <v>6</v>
      </c>
      <c r="C80" s="145">
        <f t="shared" si="17"/>
        <v>0.54347826086956519</v>
      </c>
      <c r="D80" s="164">
        <v>230</v>
      </c>
      <c r="E80" s="239" t="s">
        <v>208</v>
      </c>
      <c r="F80" s="37" t="s">
        <v>196</v>
      </c>
      <c r="G80" s="122">
        <v>3510</v>
      </c>
      <c r="H80" s="123">
        <f>E80*G80</f>
        <v>438750</v>
      </c>
    </row>
    <row r="81" spans="1:9" s="120" customFormat="1" ht="15" customHeight="1">
      <c r="A81" s="280"/>
      <c r="B81" s="37" t="s">
        <v>205</v>
      </c>
      <c r="C81" s="145"/>
      <c r="D81" s="37"/>
      <c r="E81" s="239" t="s">
        <v>150</v>
      </c>
      <c r="F81" s="37" t="s">
        <v>149</v>
      </c>
      <c r="G81" s="122">
        <v>75600</v>
      </c>
      <c r="H81" s="123">
        <f>E81*G81</f>
        <v>151200</v>
      </c>
    </row>
    <row r="82" spans="1:9" s="120" customFormat="1" ht="15" customHeight="1">
      <c r="A82" s="280"/>
      <c r="B82" s="37" t="s">
        <v>151</v>
      </c>
      <c r="C82" s="145"/>
      <c r="D82" s="37"/>
      <c r="E82" s="239" t="s">
        <v>150</v>
      </c>
      <c r="F82" s="37" t="s">
        <v>3</v>
      </c>
      <c r="G82" s="122">
        <v>44280</v>
      </c>
      <c r="H82" s="123">
        <f>E82*G82</f>
        <v>88560</v>
      </c>
    </row>
    <row r="83" spans="1:9" s="120" customFormat="1" ht="15" customHeight="1">
      <c r="A83" s="280"/>
      <c r="B83" s="37" t="s">
        <v>207</v>
      </c>
      <c r="C83" s="145"/>
      <c r="D83" s="37"/>
      <c r="E83" s="239" t="s">
        <v>153</v>
      </c>
      <c r="F83" s="37" t="s">
        <v>3</v>
      </c>
      <c r="G83" s="122">
        <v>24150</v>
      </c>
      <c r="H83" s="123">
        <f>E83*G83</f>
        <v>123164.99999999999</v>
      </c>
    </row>
    <row r="84" spans="1:9" s="120" customFormat="1" ht="15" customHeight="1">
      <c r="A84" s="280"/>
      <c r="B84" s="37" t="s">
        <v>36</v>
      </c>
      <c r="C84" s="143"/>
      <c r="D84" s="37"/>
      <c r="E84" s="239" t="s">
        <v>41</v>
      </c>
      <c r="F84" s="37" t="s">
        <v>3</v>
      </c>
      <c r="G84" s="122">
        <v>36750</v>
      </c>
      <c r="H84" s="123">
        <f t="shared" ref="H84:H85" si="19">E84*G84</f>
        <v>3675</v>
      </c>
    </row>
    <row r="85" spans="1:9" s="120" customFormat="1" ht="15" customHeight="1">
      <c r="A85" s="280"/>
      <c r="B85" s="37" t="s">
        <v>11</v>
      </c>
      <c r="C85" s="163"/>
      <c r="D85" s="37"/>
      <c r="E85" s="244">
        <v>0.1</v>
      </c>
      <c r="F85" s="37" t="s">
        <v>1</v>
      </c>
      <c r="G85" s="122">
        <v>57750</v>
      </c>
      <c r="H85" s="123">
        <f t="shared" si="19"/>
        <v>5775</v>
      </c>
      <c r="I85" s="125">
        <f>230*17000</f>
        <v>3910000</v>
      </c>
    </row>
    <row r="86" spans="1:9" s="120" customFormat="1" ht="15" customHeight="1">
      <c r="A86" s="280"/>
      <c r="B86" s="127" t="s">
        <v>24</v>
      </c>
      <c r="C86" s="127"/>
      <c r="D86" s="127"/>
      <c r="E86" s="242"/>
      <c r="F86" s="129"/>
      <c r="G86" s="127"/>
      <c r="H86" s="133">
        <f>144155+20</f>
        <v>144175</v>
      </c>
    </row>
    <row r="87" spans="1:9" s="134" customFormat="1" ht="20.399999999999999" customHeight="1">
      <c r="A87" s="199"/>
      <c r="B87" s="20"/>
      <c r="C87" s="20"/>
      <c r="D87" s="20"/>
      <c r="E87" s="245"/>
      <c r="F87" s="21"/>
      <c r="G87" s="20"/>
      <c r="H87" s="5">
        <f>SUM(H77:H86)</f>
        <v>3910000</v>
      </c>
      <c r="I87" s="198">
        <f>I85-H87</f>
        <v>0</v>
      </c>
    </row>
    <row r="88" spans="1:9" s="134" customFormat="1" ht="20.399999999999999" customHeight="1">
      <c r="A88" s="283" t="s">
        <v>210</v>
      </c>
      <c r="B88" s="101" t="s">
        <v>10</v>
      </c>
      <c r="C88" s="103">
        <f>E88/D88</f>
        <v>0.12196261682242991</v>
      </c>
      <c r="D88" s="196">
        <v>214</v>
      </c>
      <c r="E88" s="187" t="s">
        <v>215</v>
      </c>
      <c r="F88" s="116" t="s">
        <v>1</v>
      </c>
      <c r="G88" s="142">
        <v>21000</v>
      </c>
      <c r="H88" s="240">
        <f>E88*G88</f>
        <v>548100</v>
      </c>
      <c r="I88" s="198"/>
    </row>
    <row r="89" spans="1:9" s="134" customFormat="1" ht="20.399999999999999" customHeight="1">
      <c r="A89" s="284"/>
      <c r="B89" s="241" t="s">
        <v>120</v>
      </c>
      <c r="C89" s="104">
        <f>E89/D89</f>
        <v>0.10280373831775701</v>
      </c>
      <c r="D89" s="17">
        <v>214</v>
      </c>
      <c r="E89" s="41">
        <v>22</v>
      </c>
      <c r="F89" s="17" t="s">
        <v>1</v>
      </c>
      <c r="G89" s="18">
        <v>87150</v>
      </c>
      <c r="H89" s="240">
        <f>E89*G89</f>
        <v>1917300</v>
      </c>
      <c r="I89" s="198"/>
    </row>
    <row r="90" spans="1:9" s="134" customFormat="1" ht="20.399999999999999" customHeight="1">
      <c r="A90" s="284"/>
      <c r="B90" s="37" t="s">
        <v>33</v>
      </c>
      <c r="C90" s="37">
        <f t="shared" ref="C90:C91" si="20">E90/D90</f>
        <v>4.6261682242990654E-2</v>
      </c>
      <c r="D90" s="37">
        <v>214</v>
      </c>
      <c r="E90" s="239" t="s">
        <v>216</v>
      </c>
      <c r="F90" s="37" t="s">
        <v>1</v>
      </c>
      <c r="G90" s="122">
        <v>67200</v>
      </c>
      <c r="H90" s="240">
        <f t="shared" ref="H90:H95" si="21">E90*G90</f>
        <v>665280</v>
      </c>
      <c r="I90" s="198"/>
    </row>
    <row r="91" spans="1:9" s="134" customFormat="1" ht="20.399999999999999" customHeight="1">
      <c r="A91" s="284"/>
      <c r="B91" s="37" t="s">
        <v>142</v>
      </c>
      <c r="C91" s="143">
        <f t="shared" si="20"/>
        <v>4.6728971962616819E-3</v>
      </c>
      <c r="D91" s="164">
        <v>214</v>
      </c>
      <c r="E91" s="163">
        <v>1</v>
      </c>
      <c r="F91" s="37" t="s">
        <v>3</v>
      </c>
      <c r="G91" s="122">
        <v>141750</v>
      </c>
      <c r="H91" s="240">
        <f t="shared" si="21"/>
        <v>141750</v>
      </c>
      <c r="I91" s="198">
        <f>214*17000</f>
        <v>3638000</v>
      </c>
    </row>
    <row r="92" spans="1:9" s="134" customFormat="1" ht="20.399999999999999" customHeight="1">
      <c r="A92" s="284"/>
      <c r="B92" s="196" t="s">
        <v>200</v>
      </c>
      <c r="C92" s="216"/>
      <c r="D92" s="196">
        <v>214</v>
      </c>
      <c r="E92" s="189" t="s">
        <v>202</v>
      </c>
      <c r="F92" s="196" t="s">
        <v>3</v>
      </c>
      <c r="G92" s="214">
        <v>25200</v>
      </c>
      <c r="H92" s="240">
        <f t="shared" si="21"/>
        <v>100800</v>
      </c>
      <c r="I92" s="198"/>
    </row>
    <row r="93" spans="1:9" s="134" customFormat="1" ht="20.399999999999999" customHeight="1">
      <c r="A93" s="284"/>
      <c r="B93" s="196" t="s">
        <v>201</v>
      </c>
      <c r="C93" s="216"/>
      <c r="D93" s="196"/>
      <c r="E93" s="189" t="s">
        <v>63</v>
      </c>
      <c r="F93" s="196" t="s">
        <v>1</v>
      </c>
      <c r="G93" s="214">
        <v>22050</v>
      </c>
      <c r="H93" s="240">
        <f t="shared" si="21"/>
        <v>110250</v>
      </c>
      <c r="I93" s="198"/>
    </row>
    <row r="94" spans="1:9" s="134" customFormat="1" ht="20.399999999999999" customHeight="1">
      <c r="A94" s="284"/>
      <c r="B94" s="196" t="s">
        <v>36</v>
      </c>
      <c r="C94" s="213"/>
      <c r="D94" s="196"/>
      <c r="E94" s="189" t="s">
        <v>41</v>
      </c>
      <c r="F94" s="196" t="s">
        <v>3</v>
      </c>
      <c r="G94" s="122">
        <v>36750</v>
      </c>
      <c r="H94" s="240">
        <f t="shared" si="21"/>
        <v>3675</v>
      </c>
      <c r="I94" s="198">
        <f>H97-I91</f>
        <v>0</v>
      </c>
    </row>
    <row r="95" spans="1:9" s="134" customFormat="1" ht="20.399999999999999" customHeight="1">
      <c r="A95" s="284"/>
      <c r="B95" s="196" t="s">
        <v>11</v>
      </c>
      <c r="C95" s="197"/>
      <c r="D95" s="196"/>
      <c r="E95" s="248">
        <v>0.1</v>
      </c>
      <c r="F95" s="196" t="s">
        <v>1</v>
      </c>
      <c r="G95" s="122">
        <v>57750</v>
      </c>
      <c r="H95" s="240">
        <f t="shared" si="21"/>
        <v>5775</v>
      </c>
      <c r="I95" s="198"/>
    </row>
    <row r="96" spans="1:9" s="134" customFormat="1" ht="20.399999999999999" customHeight="1">
      <c r="A96" s="227"/>
      <c r="B96" s="217" t="s">
        <v>24</v>
      </c>
      <c r="C96" s="217"/>
      <c r="D96" s="217"/>
      <c r="E96" s="246"/>
      <c r="F96" s="219"/>
      <c r="G96" s="217"/>
      <c r="H96" s="240">
        <f>144155+915</f>
        <v>145070</v>
      </c>
      <c r="I96" s="198"/>
    </row>
    <row r="97" spans="1:9" s="134" customFormat="1" ht="20.399999999999999" customHeight="1">
      <c r="A97" s="199"/>
      <c r="B97" s="228"/>
      <c r="C97" s="200"/>
      <c r="D97" s="228"/>
      <c r="E97" s="247"/>
      <c r="F97" s="228"/>
      <c r="G97" s="229"/>
      <c r="H97" s="230">
        <f>SUM(H88:H96)</f>
        <v>3638000</v>
      </c>
      <c r="I97" s="198">
        <f>H97-I91</f>
        <v>0</v>
      </c>
    </row>
    <row r="98" spans="1:9" s="134" customFormat="1" ht="15" customHeight="1">
      <c r="A98" s="276" t="s">
        <v>211</v>
      </c>
      <c r="B98" s="116" t="s">
        <v>21</v>
      </c>
      <c r="C98" s="140">
        <f>E98/D98</f>
        <v>0.1206140350877193</v>
      </c>
      <c r="D98" s="196">
        <v>228</v>
      </c>
      <c r="E98" s="187" t="s">
        <v>144</v>
      </c>
      <c r="F98" s="116" t="s">
        <v>1</v>
      </c>
      <c r="G98" s="142">
        <v>21000</v>
      </c>
      <c r="H98" s="118">
        <f>E98*G98</f>
        <v>577500</v>
      </c>
      <c r="I98" s="222"/>
    </row>
    <row r="99" spans="1:9" s="134" customFormat="1" ht="24.6" customHeight="1">
      <c r="A99" s="276"/>
      <c r="B99" s="37" t="s">
        <v>80</v>
      </c>
      <c r="C99" s="143">
        <f t="shared" ref="C99:C102" si="22">E99/D99</f>
        <v>6.5789473684210523E-2</v>
      </c>
      <c r="D99" s="196">
        <v>228</v>
      </c>
      <c r="E99" s="163">
        <v>15</v>
      </c>
      <c r="F99" s="37" t="s">
        <v>1</v>
      </c>
      <c r="G99" s="122">
        <v>140700</v>
      </c>
      <c r="H99" s="123">
        <f>E99*G99-1892</f>
        <v>2108608</v>
      </c>
    </row>
    <row r="100" spans="1:9" s="134" customFormat="1" ht="15" customHeight="1">
      <c r="A100" s="276"/>
      <c r="B100" s="37" t="s">
        <v>185</v>
      </c>
      <c r="C100" s="145">
        <f t="shared" si="22"/>
        <v>3.9035087719298249E-2</v>
      </c>
      <c r="D100" s="164">
        <v>228</v>
      </c>
      <c r="E100" s="225" t="s">
        <v>218</v>
      </c>
      <c r="F100" s="37" t="s">
        <v>1</v>
      </c>
      <c r="G100" s="122">
        <v>81900</v>
      </c>
      <c r="H100" s="123">
        <f>E100*G100</f>
        <v>728910</v>
      </c>
    </row>
    <row r="101" spans="1:9" s="134" customFormat="1" ht="15" customHeight="1">
      <c r="A101" s="276"/>
      <c r="B101" s="37" t="s">
        <v>40</v>
      </c>
      <c r="C101" s="145">
        <f t="shared" si="22"/>
        <v>4.3859649122807015E-3</v>
      </c>
      <c r="D101" s="196">
        <v>228</v>
      </c>
      <c r="E101" s="239" t="s">
        <v>25</v>
      </c>
      <c r="F101" s="37" t="s">
        <v>1</v>
      </c>
      <c r="G101" s="122">
        <v>173250</v>
      </c>
      <c r="H101" s="123">
        <f t="shared" ref="H101:H105" si="23">E101*G101</f>
        <v>173250</v>
      </c>
    </row>
    <row r="102" spans="1:9" s="134" customFormat="1" ht="15" customHeight="1">
      <c r="A102" s="221"/>
      <c r="B102" s="37" t="s">
        <v>186</v>
      </c>
      <c r="C102" s="145">
        <f t="shared" si="22"/>
        <v>1.3157894736842105E-2</v>
      </c>
      <c r="D102" s="164">
        <v>228</v>
      </c>
      <c r="E102" s="239" t="s">
        <v>43</v>
      </c>
      <c r="F102" s="37" t="s">
        <v>3</v>
      </c>
      <c r="G102" s="122">
        <v>23100</v>
      </c>
      <c r="H102" s="123">
        <f t="shared" si="23"/>
        <v>69300</v>
      </c>
    </row>
    <row r="103" spans="1:9" s="134" customFormat="1" ht="15" customHeight="1">
      <c r="A103" s="221"/>
      <c r="B103" s="37" t="s">
        <v>187</v>
      </c>
      <c r="C103" s="172"/>
      <c r="D103" s="164"/>
      <c r="E103" s="239" t="s">
        <v>150</v>
      </c>
      <c r="F103" s="37" t="s">
        <v>3</v>
      </c>
      <c r="G103" s="122">
        <v>31500</v>
      </c>
      <c r="H103" s="123">
        <f t="shared" si="23"/>
        <v>63000</v>
      </c>
    </row>
    <row r="104" spans="1:9" s="134" customFormat="1" ht="15" customHeight="1">
      <c r="A104" s="221"/>
      <c r="B104" s="37" t="s">
        <v>61</v>
      </c>
      <c r="C104" s="147"/>
      <c r="D104" s="37"/>
      <c r="E104" s="239" t="s">
        <v>41</v>
      </c>
      <c r="F104" s="37" t="s">
        <v>1</v>
      </c>
      <c r="G104" s="122">
        <v>60900</v>
      </c>
      <c r="H104" s="123">
        <f t="shared" si="23"/>
        <v>6090</v>
      </c>
    </row>
    <row r="105" spans="1:9" s="134" customFormat="1" ht="15" customHeight="1">
      <c r="A105" s="221"/>
      <c r="B105" s="37" t="s">
        <v>75</v>
      </c>
      <c r="C105" s="127"/>
      <c r="D105" s="37"/>
      <c r="E105" s="239" t="s">
        <v>41</v>
      </c>
      <c r="F105" s="37" t="s">
        <v>1</v>
      </c>
      <c r="G105" s="122">
        <v>42000</v>
      </c>
      <c r="H105" s="123">
        <f t="shared" si="23"/>
        <v>4200</v>
      </c>
    </row>
    <row r="106" spans="1:9" s="134" customFormat="1" ht="15" customHeight="1">
      <c r="A106" s="221"/>
      <c r="B106" s="217" t="s">
        <v>24</v>
      </c>
      <c r="C106" s="217"/>
      <c r="D106" s="217"/>
      <c r="E106" s="246"/>
      <c r="F106" s="219"/>
      <c r="G106" s="217"/>
      <c r="H106" s="220">
        <f>144155+987</f>
        <v>145142</v>
      </c>
    </row>
    <row r="107" spans="1:9" s="156" customFormat="1" ht="19.8" customHeight="1">
      <c r="A107" s="201"/>
      <c r="B107" s="177"/>
      <c r="C107" s="177"/>
      <c r="D107" s="177"/>
      <c r="E107" s="190"/>
      <c r="F107" s="202"/>
      <c r="G107" s="177"/>
      <c r="H107" s="203">
        <f>SUM(H98:H106)</f>
        <v>3876000</v>
      </c>
      <c r="I107" s="184">
        <f>D99*17000</f>
        <v>3876000</v>
      </c>
    </row>
    <row r="108" spans="1:9">
      <c r="A108" s="110"/>
      <c r="B108" s="110"/>
      <c r="C108" s="110"/>
      <c r="D108" s="110"/>
      <c r="E108" s="249"/>
      <c r="I108" s="30">
        <f>H107-I107</f>
        <v>0</v>
      </c>
    </row>
    <row r="109" spans="1:9" ht="18">
      <c r="A109" s="277" t="s">
        <v>26</v>
      </c>
      <c r="B109" s="277"/>
      <c r="C109" s="277" t="s">
        <v>27</v>
      </c>
      <c r="D109" s="277"/>
      <c r="E109" s="277"/>
      <c r="F109" s="1"/>
      <c r="G109" s="277" t="s">
        <v>28</v>
      </c>
      <c r="H109" s="277"/>
    </row>
    <row r="110" spans="1:9">
      <c r="I110" s="70" t="s">
        <v>212</v>
      </c>
    </row>
    <row r="111" spans="1:9">
      <c r="I111" t="s">
        <v>214</v>
      </c>
    </row>
    <row r="112" spans="1:9">
      <c r="I112" t="s">
        <v>213</v>
      </c>
    </row>
    <row r="113" spans="1:9" ht="20.399999999999999">
      <c r="I113" s="251" t="s">
        <v>217</v>
      </c>
    </row>
    <row r="123" spans="1:9" ht="15.6">
      <c r="A123" s="6" t="s">
        <v>0</v>
      </c>
      <c r="B123" s="6"/>
    </row>
    <row r="124" spans="1:9" s="113" customFormat="1" ht="16.8" customHeight="1">
      <c r="A124" s="277" t="s">
        <v>192</v>
      </c>
      <c r="B124" s="277"/>
      <c r="C124" s="277"/>
      <c r="D124" s="277"/>
      <c r="E124" s="277"/>
      <c r="F124" s="277"/>
      <c r="G124" s="277"/>
      <c r="H124" s="277"/>
      <c r="I124" s="182">
        <f>1996200/15</f>
        <v>133080</v>
      </c>
    </row>
    <row r="125" spans="1:9" s="113" customFormat="1" ht="16.2" customHeight="1">
      <c r="A125" s="112"/>
      <c r="B125" s="278" t="s">
        <v>193</v>
      </c>
      <c r="C125" s="278"/>
      <c r="D125" s="278"/>
      <c r="E125" s="278"/>
      <c r="F125" s="278"/>
      <c r="G125" s="278"/>
      <c r="H125" s="278"/>
    </row>
    <row r="126" spans="1:9" s="120" customFormat="1" ht="15" customHeight="1">
      <c r="A126" s="279" t="s">
        <v>188</v>
      </c>
      <c r="B126" s="194" t="s">
        <v>10</v>
      </c>
      <c r="C126" s="115">
        <f>E126/D126</f>
        <v>0.12043478260869565</v>
      </c>
      <c r="D126" s="37">
        <v>230</v>
      </c>
      <c r="E126" s="157">
        <v>27.7</v>
      </c>
      <c r="F126" s="116" t="s">
        <v>1</v>
      </c>
      <c r="G126" s="238">
        <v>21000</v>
      </c>
      <c r="H126" s="118">
        <f>E126*G126</f>
        <v>581700</v>
      </c>
      <c r="I126" s="183" t="e">
        <f>#REF!-#REF!</f>
        <v>#REF!</v>
      </c>
    </row>
    <row r="127" spans="1:9" s="120" customFormat="1" ht="15" customHeight="1">
      <c r="A127" s="280"/>
      <c r="B127" s="37" t="s">
        <v>5</v>
      </c>
      <c r="C127" s="37">
        <f>E127/D127</f>
        <v>7.0434782608695651E-2</v>
      </c>
      <c r="D127" s="37">
        <v>230</v>
      </c>
      <c r="E127" s="163">
        <v>16.2</v>
      </c>
      <c r="F127" s="37" t="s">
        <v>1</v>
      </c>
      <c r="G127" s="122">
        <v>141750</v>
      </c>
      <c r="H127" s="123">
        <f>E127*G127</f>
        <v>2296350</v>
      </c>
      <c r="I127" s="125">
        <f>230*17000</f>
        <v>3910000</v>
      </c>
    </row>
    <row r="128" spans="1:9" s="120" customFormat="1" ht="15" customHeight="1">
      <c r="A128" s="280"/>
      <c r="B128" s="37" t="s">
        <v>31</v>
      </c>
      <c r="C128" s="37">
        <f t="shared" ref="C128:C129" si="24">E128/D128</f>
        <v>3.0434782608695652E-3</v>
      </c>
      <c r="D128" s="37">
        <v>230</v>
      </c>
      <c r="E128" s="239" t="s">
        <v>32</v>
      </c>
      <c r="F128" s="37" t="s">
        <v>1</v>
      </c>
      <c r="G128" s="122">
        <v>304500</v>
      </c>
      <c r="H128" s="123">
        <f t="shared" ref="H128:H132" si="25">E128*G128</f>
        <v>213150</v>
      </c>
    </row>
    <row r="129" spans="1:9" s="120" customFormat="1" ht="15" customHeight="1">
      <c r="A129" s="280"/>
      <c r="B129" s="37" t="s">
        <v>33</v>
      </c>
      <c r="C129" s="37">
        <f t="shared" si="24"/>
        <v>3.2173913043478261E-2</v>
      </c>
      <c r="D129" s="37">
        <v>230</v>
      </c>
      <c r="E129" s="239" t="s">
        <v>129</v>
      </c>
      <c r="F129" s="37" t="s">
        <v>1</v>
      </c>
      <c r="G129" s="122">
        <v>67200</v>
      </c>
      <c r="H129" s="123">
        <f t="shared" si="25"/>
        <v>497280</v>
      </c>
      <c r="I129" s="135">
        <f>I127-H134</f>
        <v>0</v>
      </c>
    </row>
    <row r="130" spans="1:9" s="120" customFormat="1" ht="15" customHeight="1">
      <c r="A130" s="280"/>
      <c r="B130" s="37" t="s">
        <v>50</v>
      </c>
      <c r="C130" s="163"/>
      <c r="D130" s="37"/>
      <c r="E130" s="163">
        <v>0.1</v>
      </c>
      <c r="F130" s="37" t="s">
        <v>3</v>
      </c>
      <c r="G130" s="122">
        <v>36750</v>
      </c>
      <c r="H130" s="123">
        <f t="shared" si="25"/>
        <v>3675</v>
      </c>
    </row>
    <row r="131" spans="1:9" s="120" customFormat="1" ht="15" customHeight="1">
      <c r="A131" s="280"/>
      <c r="B131" s="37" t="s">
        <v>152</v>
      </c>
      <c r="C131" s="145"/>
      <c r="D131" s="37"/>
      <c r="E131" s="239" t="s">
        <v>156</v>
      </c>
      <c r="F131" s="37" t="s">
        <v>1</v>
      </c>
      <c r="G131" s="122">
        <v>31500</v>
      </c>
      <c r="H131" s="123">
        <f t="shared" si="25"/>
        <v>166950</v>
      </c>
    </row>
    <row r="132" spans="1:9" s="120" customFormat="1" ht="15" customHeight="1">
      <c r="A132" s="280"/>
      <c r="B132" s="37" t="s">
        <v>11</v>
      </c>
      <c r="C132" s="37"/>
      <c r="D132" s="37"/>
      <c r="E132" s="163">
        <v>0.1</v>
      </c>
      <c r="F132" s="37" t="s">
        <v>1</v>
      </c>
      <c r="G132" s="122">
        <v>57750</v>
      </c>
      <c r="H132" s="123">
        <f t="shared" si="25"/>
        <v>5775</v>
      </c>
    </row>
    <row r="133" spans="1:9" s="120" customFormat="1" ht="15" customHeight="1">
      <c r="A133" s="281"/>
      <c r="B133" s="127" t="s">
        <v>24</v>
      </c>
      <c r="C133" s="127"/>
      <c r="D133" s="127"/>
      <c r="E133" s="242"/>
      <c r="F133" s="129"/>
      <c r="G133" s="127"/>
      <c r="H133" s="123">
        <f>144155+965</f>
        <v>145120</v>
      </c>
      <c r="I133" s="120">
        <v>130426</v>
      </c>
    </row>
    <row r="134" spans="1:9" s="149" customFormat="1" ht="18.600000000000001" customHeight="1">
      <c r="A134" s="150"/>
      <c r="B134" s="151"/>
      <c r="C134" s="152"/>
      <c r="D134" s="152"/>
      <c r="E134" s="243"/>
      <c r="F134" s="154"/>
      <c r="G134" s="151"/>
      <c r="H134" s="155">
        <f>SUM(H126:H133)</f>
        <v>3910000</v>
      </c>
      <c r="I134" s="184">
        <f>H134-I127</f>
        <v>0</v>
      </c>
    </row>
    <row r="135" spans="1:9" s="120" customFormat="1" ht="15" customHeight="1">
      <c r="A135" s="124"/>
      <c r="B135" s="194" t="s">
        <v>21</v>
      </c>
      <c r="C135" s="172">
        <f>E135/D135</f>
        <v>0.12043478260869565</v>
      </c>
      <c r="D135" s="37">
        <v>230</v>
      </c>
      <c r="E135" s="236" t="s">
        <v>112</v>
      </c>
      <c r="F135" s="160" t="s">
        <v>1</v>
      </c>
      <c r="G135" s="237">
        <v>21000</v>
      </c>
      <c r="H135" s="161">
        <f>E135*G135</f>
        <v>581700</v>
      </c>
      <c r="I135" s="120">
        <f>4205303-3893000</f>
        <v>312303</v>
      </c>
    </row>
    <row r="136" spans="1:9" s="120" customFormat="1" ht="15" customHeight="1">
      <c r="A136" s="280" t="s">
        <v>189</v>
      </c>
      <c r="B136" s="160" t="s">
        <v>146</v>
      </c>
      <c r="C136" s="143">
        <f t="shared" ref="C136:C138" si="26">E136/D136</f>
        <v>7.5652173913043477E-2</v>
      </c>
      <c r="D136" s="37">
        <v>230</v>
      </c>
      <c r="E136" s="236" t="s">
        <v>184</v>
      </c>
      <c r="F136" s="37" t="s">
        <v>1</v>
      </c>
      <c r="G136" s="237">
        <v>131250</v>
      </c>
      <c r="H136" s="123">
        <f>G136*E136</f>
        <v>2283750</v>
      </c>
    </row>
    <row r="137" spans="1:9" s="120" customFormat="1" ht="19.2" customHeight="1">
      <c r="A137" s="280"/>
      <c r="B137" s="37" t="s">
        <v>142</v>
      </c>
      <c r="C137" s="143">
        <f t="shared" si="26"/>
        <v>4.3478260869565218E-3</v>
      </c>
      <c r="D137" s="164">
        <v>230</v>
      </c>
      <c r="E137" s="163">
        <v>1</v>
      </c>
      <c r="F137" s="37" t="s">
        <v>3</v>
      </c>
      <c r="G137" s="122">
        <v>141750</v>
      </c>
      <c r="H137" s="123">
        <f t="shared" ref="H137" si="27">E137*G137</f>
        <v>141750</v>
      </c>
      <c r="I137" s="126">
        <f>230*17000</f>
        <v>3910000</v>
      </c>
    </row>
    <row r="138" spans="1:9" s="120" customFormat="1" ht="15" customHeight="1">
      <c r="A138" s="280"/>
      <c r="B138" s="37" t="s">
        <v>6</v>
      </c>
      <c r="C138" s="145">
        <f t="shared" si="26"/>
        <v>0.54545454545454541</v>
      </c>
      <c r="D138" s="37">
        <v>220</v>
      </c>
      <c r="E138" s="239" t="s">
        <v>195</v>
      </c>
      <c r="F138" s="37" t="s">
        <v>196</v>
      </c>
      <c r="G138" s="122">
        <v>3510</v>
      </c>
      <c r="H138" s="123">
        <f>E138*G138</f>
        <v>421200</v>
      </c>
    </row>
    <row r="139" spans="1:9" s="120" customFormat="1" ht="15" customHeight="1">
      <c r="A139" s="280"/>
      <c r="B139" s="37" t="s">
        <v>148</v>
      </c>
      <c r="C139" s="145"/>
      <c r="D139" s="37"/>
      <c r="E139" s="239" t="s">
        <v>43</v>
      </c>
      <c r="F139" s="37" t="s">
        <v>149</v>
      </c>
      <c r="G139" s="122">
        <v>37800</v>
      </c>
      <c r="H139" s="123">
        <f>E139*G139</f>
        <v>113400</v>
      </c>
    </row>
    <row r="140" spans="1:9" s="120" customFormat="1" ht="15" customHeight="1">
      <c r="A140" s="280"/>
      <c r="B140" s="37" t="s">
        <v>151</v>
      </c>
      <c r="C140" s="145"/>
      <c r="D140" s="37"/>
      <c r="E140" s="239" t="s">
        <v>25</v>
      </c>
      <c r="F140" s="37" t="s">
        <v>3</v>
      </c>
      <c r="G140" s="122">
        <v>44280</v>
      </c>
      <c r="H140" s="123">
        <f>E140*G140</f>
        <v>44280</v>
      </c>
    </row>
    <row r="141" spans="1:9" s="120" customFormat="1" ht="15" customHeight="1">
      <c r="A141" s="280"/>
      <c r="B141" s="37" t="s">
        <v>194</v>
      </c>
      <c r="C141" s="145"/>
      <c r="D141" s="37"/>
      <c r="E141" s="239" t="s">
        <v>81</v>
      </c>
      <c r="F141" s="37" t="s">
        <v>3</v>
      </c>
      <c r="G141" s="122">
        <v>31500</v>
      </c>
      <c r="H141" s="123">
        <f>E141*G141</f>
        <v>182700</v>
      </c>
    </row>
    <row r="142" spans="1:9" s="120" customFormat="1" ht="15" customHeight="1">
      <c r="A142" s="280"/>
      <c r="B142" s="37" t="s">
        <v>36</v>
      </c>
      <c r="C142" s="143"/>
      <c r="D142" s="37"/>
      <c r="E142" s="239" t="s">
        <v>41</v>
      </c>
      <c r="F142" s="37" t="s">
        <v>3</v>
      </c>
      <c r="G142" s="122">
        <v>36750</v>
      </c>
      <c r="H142" s="123">
        <f t="shared" ref="H142:H143" si="28">E142*G142</f>
        <v>3675</v>
      </c>
    </row>
    <row r="143" spans="1:9" s="120" customFormat="1" ht="15" customHeight="1">
      <c r="A143" s="280"/>
      <c r="B143" s="37" t="s">
        <v>11</v>
      </c>
      <c r="C143" s="163"/>
      <c r="D143" s="37"/>
      <c r="E143" s="244">
        <v>0.1</v>
      </c>
      <c r="F143" s="37" t="s">
        <v>1</v>
      </c>
      <c r="G143" s="122">
        <v>57750</v>
      </c>
      <c r="H143" s="123">
        <f t="shared" si="28"/>
        <v>5775</v>
      </c>
      <c r="I143" s="125">
        <f>230*17000</f>
        <v>3910000</v>
      </c>
    </row>
    <row r="144" spans="1:9" s="120" customFormat="1" ht="15" customHeight="1">
      <c r="A144" s="280"/>
      <c r="B144" s="127" t="s">
        <v>24</v>
      </c>
      <c r="C144" s="127"/>
      <c r="D144" s="127"/>
      <c r="E144" s="242"/>
      <c r="F144" s="129"/>
      <c r="G144" s="127"/>
      <c r="H144" s="133">
        <f>130426+1089+255</f>
        <v>131770</v>
      </c>
    </row>
    <row r="145" spans="1:9" s="134" customFormat="1" ht="20.399999999999999" customHeight="1">
      <c r="A145" s="199"/>
      <c r="B145" s="20"/>
      <c r="C145" s="20"/>
      <c r="D145" s="20"/>
      <c r="E145" s="245"/>
      <c r="F145" s="21"/>
      <c r="G145" s="20"/>
      <c r="H145" s="5">
        <f>SUM(H135:H144)</f>
        <v>3910000</v>
      </c>
      <c r="I145" s="198">
        <f>I143-H145</f>
        <v>0</v>
      </c>
    </row>
    <row r="146" spans="1:9" s="134" customFormat="1" ht="20.399999999999999" customHeight="1">
      <c r="A146" s="283" t="s">
        <v>190</v>
      </c>
      <c r="B146" s="116" t="s">
        <v>21</v>
      </c>
      <c r="C146" s="140">
        <f>E146/D146</f>
        <v>0.12034632034632035</v>
      </c>
      <c r="D146" s="196">
        <v>231</v>
      </c>
      <c r="E146" s="187" t="s">
        <v>100</v>
      </c>
      <c r="F146" s="116" t="s">
        <v>1</v>
      </c>
      <c r="G146" s="142">
        <v>21000</v>
      </c>
      <c r="H146" s="118">
        <f>E146*G146</f>
        <v>583800</v>
      </c>
      <c r="I146" s="198"/>
    </row>
    <row r="147" spans="1:9" s="134" customFormat="1" ht="20.399999999999999" customHeight="1">
      <c r="A147" s="284"/>
      <c r="B147" s="37" t="s">
        <v>80</v>
      </c>
      <c r="C147" s="143">
        <f t="shared" ref="C147:C150" si="29">E147/D147</f>
        <v>6.8398268398268403E-2</v>
      </c>
      <c r="D147" s="196">
        <v>231</v>
      </c>
      <c r="E147" s="163">
        <v>15.8</v>
      </c>
      <c r="F147" s="37" t="s">
        <v>1</v>
      </c>
      <c r="G147" s="122">
        <v>140700</v>
      </c>
      <c r="H147" s="123">
        <f>E147*G147-1892</f>
        <v>2221168</v>
      </c>
      <c r="I147" s="198" t="s">
        <v>198</v>
      </c>
    </row>
    <row r="148" spans="1:9" s="134" customFormat="1" ht="20.399999999999999" customHeight="1">
      <c r="A148" s="284"/>
      <c r="B148" s="37" t="s">
        <v>185</v>
      </c>
      <c r="C148" s="145">
        <f t="shared" si="29"/>
        <v>3.67965367965368E-2</v>
      </c>
      <c r="D148" s="164">
        <v>231</v>
      </c>
      <c r="E148" s="225" t="s">
        <v>197</v>
      </c>
      <c r="F148" s="37" t="s">
        <v>1</v>
      </c>
      <c r="G148" s="122">
        <v>78750</v>
      </c>
      <c r="H148" s="123">
        <f>E148*G148</f>
        <v>669375</v>
      </c>
      <c r="I148" s="198"/>
    </row>
    <row r="149" spans="1:9" s="134" customFormat="1" ht="20.399999999999999" customHeight="1">
      <c r="A149" s="284"/>
      <c r="B149" s="37" t="s">
        <v>40</v>
      </c>
      <c r="C149" s="145">
        <f t="shared" si="29"/>
        <v>4.329004329004329E-3</v>
      </c>
      <c r="D149" s="196">
        <v>231</v>
      </c>
      <c r="E149" s="239" t="s">
        <v>25</v>
      </c>
      <c r="F149" s="37" t="s">
        <v>1</v>
      </c>
      <c r="G149" s="122">
        <v>173250</v>
      </c>
      <c r="H149" s="123">
        <f t="shared" ref="H149:H153" si="30">E149*G149</f>
        <v>173250</v>
      </c>
      <c r="I149" s="198">
        <f>231*17000</f>
        <v>3927000</v>
      </c>
    </row>
    <row r="150" spans="1:9" s="134" customFormat="1" ht="20.399999999999999" customHeight="1">
      <c r="A150" s="284"/>
      <c r="B150" s="37" t="s">
        <v>186</v>
      </c>
      <c r="C150" s="145">
        <f t="shared" si="29"/>
        <v>1.7748917748917747E-2</v>
      </c>
      <c r="D150" s="164">
        <v>231</v>
      </c>
      <c r="E150" s="239" t="s">
        <v>199</v>
      </c>
      <c r="F150" s="37" t="s">
        <v>3</v>
      </c>
      <c r="G150" s="122">
        <v>23100</v>
      </c>
      <c r="H150" s="123">
        <f t="shared" si="30"/>
        <v>94709.999999999985</v>
      </c>
      <c r="I150" s="198"/>
    </row>
    <row r="151" spans="1:9" s="134" customFormat="1" ht="20.399999999999999" customHeight="1">
      <c r="A151" s="284"/>
      <c r="B151" s="37" t="s">
        <v>187</v>
      </c>
      <c r="C151" s="172"/>
      <c r="D151" s="164"/>
      <c r="E151" s="239" t="s">
        <v>25</v>
      </c>
      <c r="F151" s="37" t="s">
        <v>3</v>
      </c>
      <c r="G151" s="122">
        <v>31500</v>
      </c>
      <c r="H151" s="123">
        <f t="shared" si="30"/>
        <v>31500</v>
      </c>
      <c r="I151" s="198"/>
    </row>
    <row r="152" spans="1:9" s="134" customFormat="1" ht="20.399999999999999" customHeight="1">
      <c r="A152" s="284"/>
      <c r="B152" s="37" t="s">
        <v>61</v>
      </c>
      <c r="C152" s="147"/>
      <c r="D152" s="37"/>
      <c r="E152" s="239" t="s">
        <v>41</v>
      </c>
      <c r="F152" s="37" t="s">
        <v>1</v>
      </c>
      <c r="G152" s="122">
        <v>60900</v>
      </c>
      <c r="H152" s="123">
        <f t="shared" si="30"/>
        <v>6090</v>
      </c>
      <c r="I152" s="198">
        <f>H155-I149</f>
        <v>0</v>
      </c>
    </row>
    <row r="153" spans="1:9" s="134" customFormat="1" ht="20.399999999999999" customHeight="1">
      <c r="A153" s="284"/>
      <c r="B153" s="37" t="s">
        <v>75</v>
      </c>
      <c r="C153" s="127"/>
      <c r="D153" s="37"/>
      <c r="E153" s="239" t="s">
        <v>41</v>
      </c>
      <c r="F153" s="37" t="s">
        <v>1</v>
      </c>
      <c r="G153" s="122">
        <v>42000</v>
      </c>
      <c r="H153" s="123">
        <f t="shared" si="30"/>
        <v>4200</v>
      </c>
      <c r="I153" s="198"/>
    </row>
    <row r="154" spans="1:9" s="134" customFormat="1" ht="20.399999999999999" customHeight="1">
      <c r="A154" s="227"/>
      <c r="B154" s="217" t="s">
        <v>24</v>
      </c>
      <c r="C154" s="217"/>
      <c r="D154" s="217"/>
      <c r="E154" s="246"/>
      <c r="F154" s="219"/>
      <c r="G154" s="217"/>
      <c r="H154" s="220">
        <f>144155-1248</f>
        <v>142907</v>
      </c>
      <c r="I154" s="198"/>
    </row>
    <row r="155" spans="1:9" s="134" customFormat="1" ht="20.399999999999999" customHeight="1">
      <c r="A155" s="199"/>
      <c r="B155" s="228"/>
      <c r="C155" s="200"/>
      <c r="D155" s="228"/>
      <c r="E155" s="247"/>
      <c r="F155" s="228"/>
      <c r="G155" s="229"/>
      <c r="H155" s="230">
        <f>SUM(H146:H154)</f>
        <v>3927000</v>
      </c>
      <c r="I155" s="198">
        <f>H155-I149</f>
        <v>0</v>
      </c>
    </row>
    <row r="156" spans="1:9" s="134" customFormat="1" ht="15" customHeight="1">
      <c r="A156" s="276" t="s">
        <v>191</v>
      </c>
      <c r="B156" s="101" t="s">
        <v>10</v>
      </c>
      <c r="C156" s="103">
        <f>E156/D156</f>
        <v>0.12034632034632035</v>
      </c>
      <c r="D156" s="196">
        <v>231</v>
      </c>
      <c r="E156" s="187" t="s">
        <v>100</v>
      </c>
      <c r="F156" s="116" t="s">
        <v>1</v>
      </c>
      <c r="G156" s="142">
        <v>21000</v>
      </c>
      <c r="H156" s="240">
        <f>G156*E156</f>
        <v>583800</v>
      </c>
      <c r="I156" s="222"/>
    </row>
    <row r="157" spans="1:9" s="134" customFormat="1" ht="24.6" customHeight="1">
      <c r="A157" s="276"/>
      <c r="B157" s="241" t="s">
        <v>120</v>
      </c>
      <c r="C157" s="104">
        <f>E157/D157</f>
        <v>9.9567099567099568E-2</v>
      </c>
      <c r="D157" s="17">
        <v>231</v>
      </c>
      <c r="E157" s="41">
        <v>23</v>
      </c>
      <c r="F157" s="17" t="s">
        <v>1</v>
      </c>
      <c r="G157" s="18">
        <v>87150</v>
      </c>
      <c r="H157" s="240">
        <f>G157*E157</f>
        <v>2004450</v>
      </c>
    </row>
    <row r="158" spans="1:9" s="134" customFormat="1" ht="15" customHeight="1">
      <c r="A158" s="276"/>
      <c r="B158" s="37" t="s">
        <v>33</v>
      </c>
      <c r="C158" s="37">
        <f t="shared" ref="C158" si="31">E158/D158</f>
        <v>5.2173913043478258E-2</v>
      </c>
      <c r="D158" s="37">
        <v>230</v>
      </c>
      <c r="E158" s="239" t="s">
        <v>101</v>
      </c>
      <c r="F158" s="37" t="s">
        <v>1</v>
      </c>
      <c r="G158" s="122">
        <v>67200</v>
      </c>
      <c r="H158" s="123">
        <f t="shared" ref="H158" si="32">E158*G158</f>
        <v>806400</v>
      </c>
    </row>
    <row r="159" spans="1:9" s="134" customFormat="1" ht="15" customHeight="1">
      <c r="A159" s="276"/>
      <c r="B159" s="37" t="s">
        <v>142</v>
      </c>
      <c r="C159" s="143">
        <f t="shared" ref="C159" si="33">E159/D159</f>
        <v>4.329004329004329E-3</v>
      </c>
      <c r="D159" s="164">
        <v>231</v>
      </c>
      <c r="E159" s="163">
        <v>1</v>
      </c>
      <c r="F159" s="37" t="s">
        <v>3</v>
      </c>
      <c r="G159" s="122">
        <v>141750</v>
      </c>
      <c r="H159" s="123">
        <f t="shared" ref="H159" si="34">E159*G159</f>
        <v>141750</v>
      </c>
    </row>
    <row r="160" spans="1:9" s="134" customFormat="1" ht="15" customHeight="1">
      <c r="A160" s="221"/>
      <c r="B160" s="196" t="s">
        <v>200</v>
      </c>
      <c r="C160" s="216"/>
      <c r="D160" s="196">
        <v>231</v>
      </c>
      <c r="E160" s="189" t="s">
        <v>202</v>
      </c>
      <c r="F160" s="196" t="s">
        <v>3</v>
      </c>
      <c r="G160" s="214">
        <v>25200</v>
      </c>
      <c r="H160" s="215">
        <f>E160*G160</f>
        <v>100800</v>
      </c>
    </row>
    <row r="161" spans="1:9" s="134" customFormat="1" ht="15" customHeight="1">
      <c r="A161" s="221"/>
      <c r="B161" s="196" t="s">
        <v>201</v>
      </c>
      <c r="C161" s="216"/>
      <c r="D161" s="196"/>
      <c r="E161" s="189" t="s">
        <v>67</v>
      </c>
      <c r="F161" s="196" t="s">
        <v>1</v>
      </c>
      <c r="G161" s="214">
        <v>22050</v>
      </c>
      <c r="H161" s="215">
        <f t="shared" ref="H161:H163" si="35">E161*G161</f>
        <v>136710</v>
      </c>
    </row>
    <row r="162" spans="1:9" s="134" customFormat="1" ht="15" customHeight="1">
      <c r="A162" s="221"/>
      <c r="B162" s="196" t="s">
        <v>36</v>
      </c>
      <c r="C162" s="213"/>
      <c r="D162" s="196"/>
      <c r="E162" s="189" t="s">
        <v>41</v>
      </c>
      <c r="F162" s="196" t="s">
        <v>3</v>
      </c>
      <c r="G162" s="122">
        <v>36750</v>
      </c>
      <c r="H162" s="123">
        <f t="shared" si="35"/>
        <v>3675</v>
      </c>
    </row>
    <row r="163" spans="1:9" s="134" customFormat="1" ht="15" customHeight="1">
      <c r="A163" s="221"/>
      <c r="B163" s="196" t="s">
        <v>11</v>
      </c>
      <c r="C163" s="197"/>
      <c r="D163" s="196"/>
      <c r="E163" s="248">
        <v>0.1</v>
      </c>
      <c r="F163" s="196" t="s">
        <v>1</v>
      </c>
      <c r="G163" s="122">
        <v>57750</v>
      </c>
      <c r="H163" s="123">
        <f t="shared" si="35"/>
        <v>5775</v>
      </c>
    </row>
    <row r="164" spans="1:9" s="134" customFormat="1" ht="15" customHeight="1">
      <c r="A164" s="221"/>
      <c r="B164" s="217" t="s">
        <v>24</v>
      </c>
      <c r="C164" s="217"/>
      <c r="D164" s="217"/>
      <c r="E164" s="246"/>
      <c r="F164" s="219"/>
      <c r="G164" s="217"/>
      <c r="H164" s="220">
        <f>144155-515</f>
        <v>143640</v>
      </c>
    </row>
    <row r="165" spans="1:9" s="156" customFormat="1" ht="19.8" customHeight="1">
      <c r="A165" s="201"/>
      <c r="B165" s="177"/>
      <c r="C165" s="177"/>
      <c r="D165" s="177"/>
      <c r="E165" s="190"/>
      <c r="F165" s="202"/>
      <c r="G165" s="177"/>
      <c r="H165" s="203">
        <f>SUM(H156:H164)</f>
        <v>3927000</v>
      </c>
      <c r="I165" s="184">
        <f>231*17000</f>
        <v>3927000</v>
      </c>
    </row>
    <row r="166" spans="1:9">
      <c r="A166" s="110"/>
      <c r="B166" s="110"/>
      <c r="C166" s="110"/>
      <c r="D166" s="110"/>
      <c r="E166" s="249"/>
    </row>
    <row r="167" spans="1:9" ht="18">
      <c r="A167" s="277" t="s">
        <v>26</v>
      </c>
      <c r="B167" s="277"/>
      <c r="C167" s="277" t="s">
        <v>27</v>
      </c>
      <c r="D167" s="277"/>
      <c r="E167" s="277"/>
      <c r="F167" s="1"/>
      <c r="G167" s="277" t="s">
        <v>28</v>
      </c>
      <c r="H167" s="277"/>
    </row>
    <row r="183" spans="1:10" ht="15.6">
      <c r="A183" s="6" t="s">
        <v>0</v>
      </c>
      <c r="B183" s="6"/>
    </row>
    <row r="184" spans="1:10" s="113" customFormat="1" ht="16.8" customHeight="1">
      <c r="A184" s="277" t="s">
        <v>172</v>
      </c>
      <c r="B184" s="277"/>
      <c r="C184" s="277"/>
      <c r="D184" s="277"/>
      <c r="E184" s="277"/>
      <c r="F184" s="277"/>
      <c r="G184" s="277"/>
      <c r="H184" s="277"/>
      <c r="I184" s="182">
        <f>1996200/15</f>
        <v>133080</v>
      </c>
    </row>
    <row r="185" spans="1:10" s="113" customFormat="1" ht="16.8" customHeight="1">
      <c r="A185" s="112"/>
      <c r="B185" s="278" t="s">
        <v>175</v>
      </c>
      <c r="C185" s="278"/>
      <c r="D185" s="278"/>
      <c r="E185" s="278"/>
      <c r="F185" s="278"/>
      <c r="G185" s="278"/>
      <c r="H185" s="278"/>
    </row>
    <row r="186" spans="1:10" ht="15" customHeight="1">
      <c r="A186" s="7" t="s">
        <v>14</v>
      </c>
      <c r="B186" s="8" t="s">
        <v>15</v>
      </c>
      <c r="C186" s="9" t="s">
        <v>16</v>
      </c>
      <c r="D186" s="10" t="s">
        <v>17</v>
      </c>
      <c r="E186" s="7" t="s">
        <v>18</v>
      </c>
      <c r="F186" s="11" t="s">
        <v>4</v>
      </c>
      <c r="G186" s="7" t="s">
        <v>19</v>
      </c>
      <c r="H186" s="7" t="s">
        <v>20</v>
      </c>
      <c r="J186" s="14" t="e">
        <f>#REF!*#REF!</f>
        <v>#REF!</v>
      </c>
    </row>
    <row r="187" spans="1:10" s="120" customFormat="1" ht="15" customHeight="1">
      <c r="A187" s="286" t="s">
        <v>176</v>
      </c>
      <c r="B187" s="101" t="s">
        <v>10</v>
      </c>
      <c r="C187" s="103">
        <f>E187/D187</f>
        <v>0.11991341991341992</v>
      </c>
      <c r="D187" s="12">
        <v>231</v>
      </c>
      <c r="E187" s="191">
        <v>27.7</v>
      </c>
      <c r="F187" s="12" t="s">
        <v>1</v>
      </c>
      <c r="G187" s="102">
        <v>21525</v>
      </c>
      <c r="H187" s="14">
        <f>G187*E187</f>
        <v>596242.5</v>
      </c>
      <c r="I187" s="119"/>
      <c r="J187" s="123" t="e">
        <f>#REF!*#REF!</f>
        <v>#REF!</v>
      </c>
    </row>
    <row r="188" spans="1:10" s="120" customFormat="1" ht="15" customHeight="1">
      <c r="A188" s="287"/>
      <c r="B188" s="17" t="s">
        <v>120</v>
      </c>
      <c r="C188" s="104">
        <f>E188/D188</f>
        <v>0.11038961038961038</v>
      </c>
      <c r="D188" s="17">
        <v>231</v>
      </c>
      <c r="E188" s="41">
        <v>25.5</v>
      </c>
      <c r="F188" s="17" t="s">
        <v>1</v>
      </c>
      <c r="G188" s="18">
        <v>86100</v>
      </c>
      <c r="H188" s="19">
        <f>G188*E188</f>
        <v>2195550</v>
      </c>
      <c r="I188" s="126">
        <f>232*17000</f>
        <v>3944000</v>
      </c>
      <c r="J188" s="123" t="e">
        <f>#REF!*#REF!</f>
        <v>#REF!</v>
      </c>
    </row>
    <row r="189" spans="1:10" s="120" customFormat="1" ht="19.2" customHeight="1">
      <c r="A189" s="288"/>
      <c r="B189" s="17" t="s">
        <v>121</v>
      </c>
      <c r="C189" s="104">
        <f t="shared" ref="C189:C192" si="36">E189/D189</f>
        <v>3.67965367965368E-2</v>
      </c>
      <c r="D189" s="17">
        <v>231</v>
      </c>
      <c r="E189" s="41">
        <v>8.5</v>
      </c>
      <c r="F189" s="17" t="s">
        <v>1</v>
      </c>
      <c r="G189" s="18">
        <v>67200</v>
      </c>
      <c r="H189" s="19">
        <f t="shared" ref="H189:H192" si="37">G189*E189</f>
        <v>571200</v>
      </c>
      <c r="I189" s="130">
        <f>I188-H197</f>
        <v>17000.5</v>
      </c>
      <c r="J189" s="123" t="e">
        <f>#REF!*#REF!</f>
        <v>#REF!</v>
      </c>
    </row>
    <row r="190" spans="1:10" s="120" customFormat="1" ht="21.6" customHeight="1">
      <c r="A190" s="288"/>
      <c r="B190" s="17" t="s">
        <v>71</v>
      </c>
      <c r="C190" s="104">
        <f t="shared" si="36"/>
        <v>1.2987012987012988E-2</v>
      </c>
      <c r="D190" s="17">
        <v>231</v>
      </c>
      <c r="E190" s="225" t="s">
        <v>43</v>
      </c>
      <c r="F190" s="17" t="s">
        <v>1</v>
      </c>
      <c r="G190" s="18">
        <v>78750</v>
      </c>
      <c r="H190" s="19">
        <f t="shared" si="37"/>
        <v>236250</v>
      </c>
      <c r="J190" s="123">
        <f>184800+136500</f>
        <v>321300</v>
      </c>
    </row>
    <row r="191" spans="1:10" s="120" customFormat="1" ht="15" customHeight="1">
      <c r="A191" s="288"/>
      <c r="B191" s="17" t="s">
        <v>72</v>
      </c>
      <c r="C191" s="104">
        <f t="shared" si="36"/>
        <v>4.0259740259740266E-2</v>
      </c>
      <c r="D191" s="17">
        <v>231</v>
      </c>
      <c r="E191" s="225" t="s">
        <v>181</v>
      </c>
      <c r="F191" s="17" t="s">
        <v>1</v>
      </c>
      <c r="G191" s="18">
        <v>18900</v>
      </c>
      <c r="H191" s="19">
        <f t="shared" si="37"/>
        <v>175770</v>
      </c>
      <c r="I191" s="126">
        <f>231*17000</f>
        <v>3927000</v>
      </c>
      <c r="J191" s="123">
        <v>136716</v>
      </c>
    </row>
    <row r="192" spans="1:10" s="120" customFormat="1" ht="15" customHeight="1">
      <c r="A192" s="288"/>
      <c r="B192" s="17" t="s">
        <v>74</v>
      </c>
      <c r="C192" s="104">
        <f t="shared" si="36"/>
        <v>4.329004329004329E-4</v>
      </c>
      <c r="D192" s="17">
        <v>231</v>
      </c>
      <c r="E192" s="225" t="s">
        <v>41</v>
      </c>
      <c r="F192" s="17" t="s">
        <v>1</v>
      </c>
      <c r="G192" s="18">
        <v>63000</v>
      </c>
      <c r="H192" s="19">
        <f t="shared" si="37"/>
        <v>6300</v>
      </c>
      <c r="I192" s="130">
        <f>H197-I191</f>
        <v>-0.5</v>
      </c>
      <c r="J192" s="131"/>
    </row>
    <row r="193" spans="1:10" s="120" customFormat="1" ht="15" customHeight="1">
      <c r="A193" s="288"/>
      <c r="B193" s="17" t="s">
        <v>165</v>
      </c>
      <c r="C193" s="74"/>
      <c r="D193" s="17"/>
      <c r="E193" s="225" t="s">
        <v>41</v>
      </c>
      <c r="F193" s="67" t="s">
        <v>1</v>
      </c>
      <c r="G193" s="18">
        <v>47250</v>
      </c>
      <c r="H193" s="19">
        <f t="shared" ref="H193:H195" si="38">E193*G193</f>
        <v>4725</v>
      </c>
      <c r="I193" s="130">
        <f>0.1*232</f>
        <v>23.200000000000003</v>
      </c>
      <c r="J193" s="131"/>
    </row>
    <row r="194" spans="1:10" s="120" customFormat="1" ht="15" customHeight="1">
      <c r="A194" s="288"/>
      <c r="B194" s="37" t="s">
        <v>11</v>
      </c>
      <c r="C194" s="37"/>
      <c r="D194" s="37"/>
      <c r="E194" s="163">
        <v>0.1</v>
      </c>
      <c r="F194" s="37" t="s">
        <v>1</v>
      </c>
      <c r="G194" s="122">
        <v>57750</v>
      </c>
      <c r="H194" s="123">
        <f t="shared" si="38"/>
        <v>5775</v>
      </c>
      <c r="I194" s="130"/>
      <c r="J194" s="131"/>
    </row>
    <row r="195" spans="1:10" s="120" customFormat="1" ht="15" customHeight="1">
      <c r="A195" s="288"/>
      <c r="B195" s="37" t="s">
        <v>75</v>
      </c>
      <c r="C195" s="127"/>
      <c r="D195" s="37"/>
      <c r="E195" s="239" t="s">
        <v>41</v>
      </c>
      <c r="F195" s="37" t="s">
        <v>1</v>
      </c>
      <c r="G195" s="122">
        <v>42000</v>
      </c>
      <c r="H195" s="123">
        <f t="shared" si="38"/>
        <v>4200</v>
      </c>
      <c r="J195" s="131"/>
    </row>
    <row r="196" spans="1:10" s="120" customFormat="1" ht="15" customHeight="1">
      <c r="A196" s="288"/>
      <c r="B196" s="127" t="s">
        <v>24</v>
      </c>
      <c r="C196" s="127"/>
      <c r="D196" s="127"/>
      <c r="E196" s="242"/>
      <c r="F196" s="129"/>
      <c r="G196" s="127"/>
      <c r="H196" s="220">
        <f>130426+562-1</f>
        <v>130987</v>
      </c>
      <c r="J196" s="131"/>
    </row>
    <row r="197" spans="1:10" s="149" customFormat="1" ht="22.2" customHeight="1">
      <c r="A197" s="289"/>
      <c r="B197" s="231"/>
      <c r="C197" s="231"/>
      <c r="D197" s="231"/>
      <c r="E197" s="250"/>
      <c r="F197" s="232"/>
      <c r="G197" s="231"/>
      <c r="H197" s="233">
        <f>SUM(H187:H196)</f>
        <v>3926999.5</v>
      </c>
      <c r="I197" s="148">
        <f>H197-I191</f>
        <v>-0.5</v>
      </c>
    </row>
    <row r="198" spans="1:10" s="120" customFormat="1" ht="15" customHeight="1">
      <c r="A198" s="279" t="s">
        <v>177</v>
      </c>
      <c r="B198" s="114" t="s">
        <v>10</v>
      </c>
      <c r="C198" s="115">
        <f>E198/D198</f>
        <v>0.12008733624454149</v>
      </c>
      <c r="D198" s="37">
        <v>229</v>
      </c>
      <c r="E198" s="185">
        <v>27.5</v>
      </c>
      <c r="F198" s="116" t="s">
        <v>1</v>
      </c>
      <c r="G198" s="117">
        <v>21525</v>
      </c>
      <c r="H198" s="118">
        <f>E198*G198</f>
        <v>591937.5</v>
      </c>
      <c r="I198" s="183">
        <f>H197-I188</f>
        <v>-17000.5</v>
      </c>
    </row>
    <row r="199" spans="1:10" s="120" customFormat="1" ht="15" customHeight="1">
      <c r="A199" s="280"/>
      <c r="B199" s="196" t="s">
        <v>5</v>
      </c>
      <c r="C199" s="37">
        <f>E199/D199</f>
        <v>7.1615720524017462E-2</v>
      </c>
      <c r="D199" s="37">
        <v>229</v>
      </c>
      <c r="E199" s="197">
        <v>16.399999999999999</v>
      </c>
      <c r="F199" s="37" t="s">
        <v>1</v>
      </c>
      <c r="G199" s="122">
        <v>141750</v>
      </c>
      <c r="H199" s="123">
        <f>E199*G199</f>
        <v>2324700</v>
      </c>
      <c r="I199" s="125">
        <f>229*17000</f>
        <v>3893000</v>
      </c>
    </row>
    <row r="200" spans="1:10" s="120" customFormat="1" ht="15" customHeight="1">
      <c r="A200" s="280"/>
      <c r="B200" s="196" t="s">
        <v>31</v>
      </c>
      <c r="C200" s="37">
        <f t="shared" ref="C200:C201" si="39">E200/D200</f>
        <v>3.0567685589519651E-3</v>
      </c>
      <c r="D200" s="37">
        <v>229</v>
      </c>
      <c r="E200" s="189" t="s">
        <v>32</v>
      </c>
      <c r="F200" s="37" t="s">
        <v>1</v>
      </c>
      <c r="G200" s="122">
        <v>304500</v>
      </c>
      <c r="H200" s="123">
        <f t="shared" ref="H200:H204" si="40">E200*G200</f>
        <v>213150</v>
      </c>
    </row>
    <row r="201" spans="1:10" s="120" customFormat="1" ht="15" customHeight="1">
      <c r="A201" s="280"/>
      <c r="B201" s="196" t="s">
        <v>33</v>
      </c>
      <c r="C201" s="37">
        <f t="shared" si="39"/>
        <v>3.0567685589519649E-2</v>
      </c>
      <c r="D201" s="37">
        <v>229</v>
      </c>
      <c r="E201" s="189" t="s">
        <v>122</v>
      </c>
      <c r="F201" s="37" t="s">
        <v>1</v>
      </c>
      <c r="G201" s="122">
        <v>67200</v>
      </c>
      <c r="H201" s="123">
        <f t="shared" si="40"/>
        <v>470400</v>
      </c>
      <c r="I201" s="135">
        <f>I199-H206</f>
        <v>0.5</v>
      </c>
    </row>
    <row r="202" spans="1:10" s="120" customFormat="1" ht="15" customHeight="1">
      <c r="A202" s="280"/>
      <c r="B202" s="37" t="s">
        <v>50</v>
      </c>
      <c r="C202" s="163"/>
      <c r="D202" s="37"/>
      <c r="E202" s="163">
        <v>0.1</v>
      </c>
      <c r="F202" s="37" t="s">
        <v>3</v>
      </c>
      <c r="G202" s="122">
        <v>36750</v>
      </c>
      <c r="H202" s="123">
        <f t="shared" si="40"/>
        <v>3675</v>
      </c>
    </row>
    <row r="203" spans="1:10" s="120" customFormat="1" ht="15" customHeight="1">
      <c r="A203" s="280"/>
      <c r="B203" s="162" t="s">
        <v>143</v>
      </c>
      <c r="C203" s="163"/>
      <c r="D203" s="167"/>
      <c r="E203" s="186">
        <v>8.1999999999999993</v>
      </c>
      <c r="F203" s="37" t="s">
        <v>1</v>
      </c>
      <c r="G203" s="122">
        <v>18900</v>
      </c>
      <c r="H203" s="123">
        <f t="shared" si="40"/>
        <v>154980</v>
      </c>
    </row>
    <row r="204" spans="1:10" s="120" customFormat="1" ht="15" customHeight="1">
      <c r="A204" s="280"/>
      <c r="B204" s="37" t="s">
        <v>11</v>
      </c>
      <c r="C204" s="37"/>
      <c r="D204" s="37"/>
      <c r="E204" s="163">
        <v>0.1</v>
      </c>
      <c r="F204" s="37" t="s">
        <v>1</v>
      </c>
      <c r="G204" s="122">
        <v>57750</v>
      </c>
      <c r="H204" s="123">
        <f t="shared" si="40"/>
        <v>5775</v>
      </c>
    </row>
    <row r="205" spans="1:10" s="120" customFormat="1" ht="15" customHeight="1">
      <c r="A205" s="281"/>
      <c r="B205" s="127" t="s">
        <v>24</v>
      </c>
      <c r="C205" s="127"/>
      <c r="D205" s="127"/>
      <c r="E205" s="242"/>
      <c r="F205" s="129"/>
      <c r="G205" s="127"/>
      <c r="H205" s="123">
        <f>130426-2044</f>
        <v>128382</v>
      </c>
      <c r="I205" s="120">
        <v>130426</v>
      </c>
    </row>
    <row r="206" spans="1:10" s="149" customFormat="1" ht="18.600000000000001" customHeight="1">
      <c r="A206" s="150"/>
      <c r="B206" s="151"/>
      <c r="C206" s="152"/>
      <c r="D206" s="152"/>
      <c r="E206" s="243"/>
      <c r="F206" s="154"/>
      <c r="G206" s="151"/>
      <c r="H206" s="155">
        <f>SUM(H198:H205)</f>
        <v>3892999.5</v>
      </c>
      <c r="I206" s="184">
        <f>H206-I199</f>
        <v>-0.5</v>
      </c>
    </row>
    <row r="207" spans="1:10" s="204" customFormat="1" ht="15" customHeight="1">
      <c r="A207" s="205"/>
      <c r="B207" s="114" t="s">
        <v>21</v>
      </c>
      <c r="C207" s="209">
        <f>E207/D207</f>
        <v>0.1206140350877193</v>
      </c>
      <c r="D207" s="196">
        <v>228</v>
      </c>
      <c r="E207" s="188" t="s">
        <v>144</v>
      </c>
      <c r="F207" s="210" t="s">
        <v>1</v>
      </c>
      <c r="G207" s="211">
        <v>21000</v>
      </c>
      <c r="H207" s="212">
        <f>E207*G207</f>
        <v>577500</v>
      </c>
      <c r="I207" s="204">
        <f>4205303-3893000</f>
        <v>312303</v>
      </c>
    </row>
    <row r="208" spans="1:10" s="204" customFormat="1" ht="15" customHeight="1">
      <c r="A208" s="290" t="s">
        <v>178</v>
      </c>
      <c r="B208" s="210" t="s">
        <v>146</v>
      </c>
      <c r="C208" s="213">
        <f t="shared" ref="C208:C210" si="41">E208/D208</f>
        <v>7.8070175438596498E-2</v>
      </c>
      <c r="D208" s="196">
        <v>228</v>
      </c>
      <c r="E208" s="188" t="s">
        <v>182</v>
      </c>
      <c r="F208" s="196" t="s">
        <v>1</v>
      </c>
      <c r="G208" s="211">
        <v>129150</v>
      </c>
      <c r="H208" s="215">
        <f>G208*E208</f>
        <v>2298870</v>
      </c>
    </row>
    <row r="209" spans="1:9" s="204" customFormat="1" ht="19.2" customHeight="1">
      <c r="A209" s="290"/>
      <c r="B209" s="37" t="s">
        <v>142</v>
      </c>
      <c r="C209" s="143">
        <f t="shared" si="41"/>
        <v>4.3859649122807015E-3</v>
      </c>
      <c r="D209" s="164">
        <v>228</v>
      </c>
      <c r="E209" s="163">
        <v>1</v>
      </c>
      <c r="F209" s="37" t="s">
        <v>3</v>
      </c>
      <c r="G209" s="122">
        <v>141750</v>
      </c>
      <c r="H209" s="123">
        <f t="shared" ref="H209" si="42">E209*G209</f>
        <v>141750</v>
      </c>
      <c r="I209" s="207">
        <f>232*17000</f>
        <v>3944000</v>
      </c>
    </row>
    <row r="210" spans="1:9" s="204" customFormat="1" ht="15" customHeight="1">
      <c r="A210" s="290"/>
      <c r="B210" s="196" t="s">
        <v>6</v>
      </c>
      <c r="C210" s="216">
        <f t="shared" si="41"/>
        <v>0.57456140350877194</v>
      </c>
      <c r="D210" s="196">
        <v>228</v>
      </c>
      <c r="E210" s="189" t="s">
        <v>147</v>
      </c>
      <c r="F210" s="196" t="s">
        <v>1</v>
      </c>
      <c r="G210" s="214">
        <v>3510</v>
      </c>
      <c r="H210" s="215">
        <f>E210*G210</f>
        <v>459810</v>
      </c>
    </row>
    <row r="211" spans="1:9" s="204" customFormat="1" ht="15" customHeight="1">
      <c r="A211" s="290"/>
      <c r="B211" s="196" t="s">
        <v>148</v>
      </c>
      <c r="C211" s="216"/>
      <c r="D211" s="196"/>
      <c r="E211" s="189" t="s">
        <v>150</v>
      </c>
      <c r="F211" s="196" t="s">
        <v>149</v>
      </c>
      <c r="G211" s="214">
        <v>37800</v>
      </c>
      <c r="H211" s="215">
        <f>E211*G211</f>
        <v>75600</v>
      </c>
    </row>
    <row r="212" spans="1:9" s="204" customFormat="1" ht="15" customHeight="1">
      <c r="A212" s="290"/>
      <c r="B212" s="196" t="s">
        <v>151</v>
      </c>
      <c r="C212" s="216"/>
      <c r="D212" s="196"/>
      <c r="E212" s="189" t="s">
        <v>25</v>
      </c>
      <c r="F212" s="196" t="s">
        <v>3</v>
      </c>
      <c r="G212" s="214">
        <v>44280</v>
      </c>
      <c r="H212" s="215">
        <f>E212*G212</f>
        <v>44280</v>
      </c>
    </row>
    <row r="213" spans="1:9" s="204" customFormat="1" ht="15" customHeight="1">
      <c r="A213" s="290"/>
      <c r="B213" s="196" t="s">
        <v>152</v>
      </c>
      <c r="C213" s="216"/>
      <c r="D213" s="196"/>
      <c r="E213" s="189" t="s">
        <v>183</v>
      </c>
      <c r="F213" s="196" t="s">
        <v>1</v>
      </c>
      <c r="G213" s="214">
        <v>24150</v>
      </c>
      <c r="H213" s="215">
        <f t="shared" ref="H213:H215" si="43">E213*G213</f>
        <v>132825</v>
      </c>
    </row>
    <row r="214" spans="1:9" s="204" customFormat="1" ht="15" customHeight="1">
      <c r="A214" s="290"/>
      <c r="B214" s="196" t="s">
        <v>36</v>
      </c>
      <c r="C214" s="213"/>
      <c r="D214" s="196"/>
      <c r="E214" s="189" t="s">
        <v>41</v>
      </c>
      <c r="F214" s="196" t="s">
        <v>3</v>
      </c>
      <c r="G214" s="122">
        <v>36750</v>
      </c>
      <c r="H214" s="123">
        <f t="shared" si="43"/>
        <v>3675</v>
      </c>
    </row>
    <row r="215" spans="1:9" s="204" customFormat="1" ht="15" customHeight="1">
      <c r="A215" s="290"/>
      <c r="B215" s="196" t="s">
        <v>11</v>
      </c>
      <c r="C215" s="197"/>
      <c r="D215" s="196"/>
      <c r="E215" s="248">
        <v>0.2</v>
      </c>
      <c r="F215" s="196" t="s">
        <v>1</v>
      </c>
      <c r="G215" s="122">
        <v>57750</v>
      </c>
      <c r="H215" s="123">
        <f t="shared" si="43"/>
        <v>11550</v>
      </c>
      <c r="I215" s="208">
        <f>228*17000</f>
        <v>3876000</v>
      </c>
    </row>
    <row r="216" spans="1:9" s="204" customFormat="1" ht="15" customHeight="1">
      <c r="A216" s="290"/>
      <c r="B216" s="217" t="s">
        <v>24</v>
      </c>
      <c r="C216" s="217"/>
      <c r="D216" s="217"/>
      <c r="E216" s="246"/>
      <c r="F216" s="219"/>
      <c r="G216" s="217"/>
      <c r="H216" s="220">
        <f>130426+286</f>
        <v>130712</v>
      </c>
    </row>
    <row r="217" spans="1:9" s="134" customFormat="1" ht="20.399999999999999" customHeight="1">
      <c r="A217" s="199"/>
      <c r="B217" s="20"/>
      <c r="C217" s="20"/>
      <c r="D217" s="20"/>
      <c r="E217" s="245"/>
      <c r="F217" s="21"/>
      <c r="G217" s="20"/>
      <c r="H217" s="5">
        <f>SUM(H207:H216)</f>
        <v>3876572</v>
      </c>
      <c r="I217" s="198">
        <f>H217-I215</f>
        <v>572</v>
      </c>
    </row>
    <row r="218" spans="1:9" s="134" customFormat="1" ht="20.399999999999999" customHeight="1">
      <c r="A218" s="283" t="s">
        <v>179</v>
      </c>
      <c r="B218" s="116" t="s">
        <v>21</v>
      </c>
      <c r="C218" s="140">
        <f>E218/D218</f>
        <v>0.1206140350877193</v>
      </c>
      <c r="D218" s="196">
        <v>228</v>
      </c>
      <c r="E218" s="187" t="s">
        <v>144</v>
      </c>
      <c r="F218" s="116" t="s">
        <v>1</v>
      </c>
      <c r="G218" s="142">
        <v>21000</v>
      </c>
      <c r="H218" s="118">
        <f>E218*G218</f>
        <v>577500</v>
      </c>
      <c r="I218" s="198"/>
    </row>
    <row r="219" spans="1:9" s="134" customFormat="1" ht="20.399999999999999" customHeight="1">
      <c r="A219" s="284"/>
      <c r="B219" s="37" t="s">
        <v>80</v>
      </c>
      <c r="C219" s="143">
        <f t="shared" ref="C219:C220" si="44">E219/D219</f>
        <v>6.9736842105263153E-2</v>
      </c>
      <c r="D219" s="196">
        <v>228</v>
      </c>
      <c r="E219" s="163">
        <v>15.9</v>
      </c>
      <c r="F219" s="37" t="s">
        <v>1</v>
      </c>
      <c r="G219" s="122">
        <v>140700</v>
      </c>
      <c r="H219" s="123">
        <f>E219*G219-1892</f>
        <v>2235238</v>
      </c>
      <c r="I219" s="198"/>
    </row>
    <row r="220" spans="1:9" s="134" customFormat="1" ht="20.399999999999999" customHeight="1">
      <c r="A220" s="284"/>
      <c r="B220" s="37" t="s">
        <v>121</v>
      </c>
      <c r="C220" s="145">
        <f t="shared" si="44"/>
        <v>3.2017543859649125E-2</v>
      </c>
      <c r="D220" s="164">
        <v>228</v>
      </c>
      <c r="E220" s="225" t="s">
        <v>141</v>
      </c>
      <c r="F220" s="37" t="s">
        <v>1</v>
      </c>
      <c r="G220" s="122">
        <v>67200</v>
      </c>
      <c r="H220" s="123">
        <f>E220*G220</f>
        <v>490560</v>
      </c>
      <c r="I220" s="198"/>
    </row>
    <row r="221" spans="1:9" s="134" customFormat="1" ht="20.399999999999999" customHeight="1">
      <c r="A221" s="284"/>
      <c r="B221" s="37" t="s">
        <v>71</v>
      </c>
      <c r="C221" s="145"/>
      <c r="D221" s="196">
        <v>228</v>
      </c>
      <c r="E221" s="239" t="s">
        <v>43</v>
      </c>
      <c r="F221" s="37" t="s">
        <v>1</v>
      </c>
      <c r="G221" s="122">
        <v>78750</v>
      </c>
      <c r="H221" s="123">
        <f t="shared" ref="H221:H225" si="45">E221*G221</f>
        <v>236250</v>
      </c>
      <c r="I221" s="198">
        <f>229*17000</f>
        <v>3893000</v>
      </c>
    </row>
    <row r="222" spans="1:9" s="134" customFormat="1" ht="20.399999999999999" customHeight="1">
      <c r="A222" s="284"/>
      <c r="B222" s="37" t="s">
        <v>72</v>
      </c>
      <c r="C222" s="145"/>
      <c r="D222" s="164">
        <v>228</v>
      </c>
      <c r="E222" s="239" t="s">
        <v>173</v>
      </c>
      <c r="F222" s="37" t="s">
        <v>3</v>
      </c>
      <c r="G222" s="122">
        <v>20478</v>
      </c>
      <c r="H222" s="123">
        <f t="shared" si="45"/>
        <v>204780</v>
      </c>
      <c r="I222" s="198"/>
    </row>
    <row r="223" spans="1:9" s="134" customFormat="1" ht="20.399999999999999" customHeight="1">
      <c r="A223" s="284"/>
      <c r="B223" s="37" t="s">
        <v>74</v>
      </c>
      <c r="C223" s="37"/>
      <c r="D223" s="37"/>
      <c r="E223" s="239" t="s">
        <v>41</v>
      </c>
      <c r="F223" s="37" t="s">
        <v>1</v>
      </c>
      <c r="G223" s="122">
        <v>63000</v>
      </c>
      <c r="H223" s="123">
        <f t="shared" si="45"/>
        <v>6300</v>
      </c>
      <c r="I223" s="198"/>
    </row>
    <row r="224" spans="1:9" s="134" customFormat="1" ht="20.399999999999999" customHeight="1">
      <c r="A224" s="284"/>
      <c r="B224" s="37" t="s">
        <v>61</v>
      </c>
      <c r="C224" s="147"/>
      <c r="D224" s="37"/>
      <c r="E224" s="239" t="s">
        <v>41</v>
      </c>
      <c r="F224" s="37" t="s">
        <v>1</v>
      </c>
      <c r="G224" s="122">
        <v>60900</v>
      </c>
      <c r="H224" s="123">
        <f t="shared" si="45"/>
        <v>6090</v>
      </c>
      <c r="I224" s="198">
        <f>H227-I221</f>
        <v>0</v>
      </c>
    </row>
    <row r="225" spans="1:9" s="134" customFormat="1" ht="20.399999999999999" customHeight="1">
      <c r="A225" s="284"/>
      <c r="B225" s="37" t="s">
        <v>75</v>
      </c>
      <c r="C225" s="127"/>
      <c r="D225" s="37"/>
      <c r="E225" s="239" t="s">
        <v>41</v>
      </c>
      <c r="F225" s="37" t="s">
        <v>1</v>
      </c>
      <c r="G225" s="122">
        <v>42000</v>
      </c>
      <c r="H225" s="123">
        <f t="shared" si="45"/>
        <v>4200</v>
      </c>
      <c r="I225" s="198"/>
    </row>
    <row r="226" spans="1:9" s="134" customFormat="1" ht="20.399999999999999" customHeight="1">
      <c r="A226" s="227"/>
      <c r="B226" s="217" t="s">
        <v>24</v>
      </c>
      <c r="C226" s="217"/>
      <c r="D226" s="217"/>
      <c r="E226" s="246"/>
      <c r="F226" s="219"/>
      <c r="G226" s="217"/>
      <c r="H226" s="220">
        <f>130426+1288+368</f>
        <v>132082</v>
      </c>
      <c r="I226" s="198"/>
    </row>
    <row r="227" spans="1:9" s="134" customFormat="1" ht="20.399999999999999" customHeight="1">
      <c r="A227" s="199"/>
      <c r="B227" s="228"/>
      <c r="C227" s="200"/>
      <c r="D227" s="228"/>
      <c r="E227" s="247"/>
      <c r="F227" s="228"/>
      <c r="G227" s="229"/>
      <c r="H227" s="230">
        <f>SUM(H218:H226)</f>
        <v>3893000</v>
      </c>
      <c r="I227" s="198">
        <f>H227-I221</f>
        <v>0</v>
      </c>
    </row>
    <row r="228" spans="1:9" s="134" customFormat="1" ht="15" customHeight="1">
      <c r="A228" s="276" t="s">
        <v>180</v>
      </c>
      <c r="B228" s="114" t="s">
        <v>10</v>
      </c>
      <c r="C228" s="115">
        <f>E228/D228</f>
        <v>0.1206140350877193</v>
      </c>
      <c r="D228" s="37">
        <v>228</v>
      </c>
      <c r="E228" s="185">
        <v>27.5</v>
      </c>
      <c r="F228" s="116" t="s">
        <v>1</v>
      </c>
      <c r="G228" s="117">
        <v>21000</v>
      </c>
      <c r="H228" s="118">
        <f>E228*G228</f>
        <v>577500</v>
      </c>
      <c r="I228" s="222"/>
    </row>
    <row r="229" spans="1:9" s="134" customFormat="1" ht="15" customHeight="1">
      <c r="A229" s="276"/>
      <c r="B229" s="37" t="s">
        <v>37</v>
      </c>
      <c r="C229" s="37">
        <f>E229/D229</f>
        <v>5.8333333333333334E-2</v>
      </c>
      <c r="D229" s="37">
        <v>228</v>
      </c>
      <c r="E229" s="163">
        <v>13.3</v>
      </c>
      <c r="F229" s="37" t="s">
        <v>1</v>
      </c>
      <c r="G229" s="122">
        <v>169560</v>
      </c>
      <c r="H229" s="123">
        <f>E229*G229</f>
        <v>2255148</v>
      </c>
    </row>
    <row r="230" spans="1:9" s="134" customFormat="1" ht="15" customHeight="1">
      <c r="A230" s="276"/>
      <c r="B230" s="37" t="s">
        <v>38</v>
      </c>
      <c r="C230" s="37">
        <f t="shared" ref="C230:C232" si="46">E230/D230</f>
        <v>0.57456140350877194</v>
      </c>
      <c r="D230" s="37">
        <v>228</v>
      </c>
      <c r="E230" s="163">
        <v>131</v>
      </c>
      <c r="F230" s="37" t="s">
        <v>1</v>
      </c>
      <c r="G230" s="122">
        <v>3456</v>
      </c>
      <c r="H230" s="123">
        <f t="shared" ref="H230:H235" si="47">E230*G230</f>
        <v>452736</v>
      </c>
    </row>
    <row r="231" spans="1:9" s="134" customFormat="1" ht="15" customHeight="1">
      <c r="A231" s="276"/>
      <c r="B231" s="37" t="s">
        <v>39</v>
      </c>
      <c r="C231" s="37">
        <f t="shared" si="46"/>
        <v>2.7192982456140352E-2</v>
      </c>
      <c r="D231" s="37">
        <v>228</v>
      </c>
      <c r="E231" s="163">
        <v>6.2</v>
      </c>
      <c r="F231" s="37" t="s">
        <v>1</v>
      </c>
      <c r="G231" s="122">
        <v>23100</v>
      </c>
      <c r="H231" s="123">
        <f t="shared" si="47"/>
        <v>143220</v>
      </c>
    </row>
    <row r="232" spans="1:9" s="134" customFormat="1" ht="15" customHeight="1">
      <c r="A232" s="221"/>
      <c r="B232" s="37" t="s">
        <v>142</v>
      </c>
      <c r="C232" s="143">
        <f t="shared" si="46"/>
        <v>4.3859649122807015E-3</v>
      </c>
      <c r="D232" s="37">
        <v>228</v>
      </c>
      <c r="E232" s="163">
        <v>1</v>
      </c>
      <c r="F232" s="37" t="s">
        <v>3</v>
      </c>
      <c r="G232" s="122">
        <v>141750</v>
      </c>
      <c r="H232" s="123">
        <f t="shared" si="47"/>
        <v>141750</v>
      </c>
    </row>
    <row r="233" spans="1:9" s="134" customFormat="1" ht="15" customHeight="1">
      <c r="A233" s="221"/>
      <c r="B233" s="37" t="s">
        <v>50</v>
      </c>
      <c r="C233" s="163"/>
      <c r="D233" s="37"/>
      <c r="E233" s="163">
        <v>0.1</v>
      </c>
      <c r="F233" s="37" t="s">
        <v>3</v>
      </c>
      <c r="G233" s="122">
        <v>36750</v>
      </c>
      <c r="H233" s="123">
        <f t="shared" si="47"/>
        <v>3675</v>
      </c>
    </row>
    <row r="234" spans="1:9" s="134" customFormat="1" ht="15" customHeight="1">
      <c r="A234" s="221"/>
      <c r="B234" s="162" t="s">
        <v>143</v>
      </c>
      <c r="C234" s="163"/>
      <c r="D234" s="167"/>
      <c r="E234" s="186">
        <v>8.8000000000000007</v>
      </c>
      <c r="F234" s="37" t="s">
        <v>1</v>
      </c>
      <c r="G234" s="122">
        <v>18900</v>
      </c>
      <c r="H234" s="123">
        <f t="shared" si="47"/>
        <v>166320</v>
      </c>
    </row>
    <row r="235" spans="1:9" s="134" customFormat="1" ht="15" customHeight="1">
      <c r="A235" s="221"/>
      <c r="B235" s="37" t="s">
        <v>11</v>
      </c>
      <c r="C235" s="37"/>
      <c r="D235" s="37"/>
      <c r="E235" s="163">
        <v>0.1</v>
      </c>
      <c r="F235" s="37" t="s">
        <v>1</v>
      </c>
      <c r="G235" s="122">
        <v>57750</v>
      </c>
      <c r="H235" s="123">
        <f t="shared" si="47"/>
        <v>5775</v>
      </c>
    </row>
    <row r="236" spans="1:9" s="134" customFormat="1" ht="15" customHeight="1">
      <c r="A236" s="221"/>
      <c r="B236" s="127" t="s">
        <v>24</v>
      </c>
      <c r="C236" s="127"/>
      <c r="D236" s="127"/>
      <c r="E236" s="242"/>
      <c r="F236" s="129"/>
      <c r="G236" s="127"/>
      <c r="H236" s="220">
        <f>130426-550</f>
        <v>129876</v>
      </c>
    </row>
    <row r="237" spans="1:9" s="156" customFormat="1" ht="19.8" customHeight="1">
      <c r="A237" s="201"/>
      <c r="B237" s="177"/>
      <c r="C237" s="177"/>
      <c r="D237" s="177"/>
      <c r="E237" s="190"/>
      <c r="F237" s="202"/>
      <c r="G237" s="177"/>
      <c r="H237" s="203">
        <f>SUM(H228:H236)</f>
        <v>3876000</v>
      </c>
      <c r="I237" s="184" t="e">
        <f>#REF!-H237</f>
        <v>#REF!</v>
      </c>
    </row>
    <row r="238" spans="1:9">
      <c r="A238" s="110"/>
      <c r="B238" s="110"/>
      <c r="C238" s="110"/>
      <c r="D238" s="110"/>
      <c r="E238" s="249"/>
    </row>
    <row r="239" spans="1:9" ht="18">
      <c r="A239" s="277" t="s">
        <v>26</v>
      </c>
      <c r="B239" s="277"/>
      <c r="C239" s="277" t="s">
        <v>27</v>
      </c>
      <c r="D239" s="277"/>
      <c r="E239" s="277"/>
      <c r="F239" s="1"/>
      <c r="G239" s="277" t="s">
        <v>28</v>
      </c>
      <c r="H239" s="277"/>
    </row>
    <row r="255" spans="1:9" ht="15.6">
      <c r="A255" s="6" t="s">
        <v>0</v>
      </c>
      <c r="B255" s="6"/>
    </row>
    <row r="256" spans="1:9" s="113" customFormat="1" ht="16.8" customHeight="1">
      <c r="A256" s="277" t="s">
        <v>172</v>
      </c>
      <c r="B256" s="277"/>
      <c r="C256" s="277"/>
      <c r="D256" s="277"/>
      <c r="E256" s="277"/>
      <c r="F256" s="277"/>
      <c r="G256" s="277"/>
      <c r="H256" s="277"/>
      <c r="I256" s="182">
        <f>1996200/15</f>
        <v>133080</v>
      </c>
    </row>
    <row r="257" spans="1:10" s="113" customFormat="1" ht="16.8" customHeight="1">
      <c r="A257" s="112"/>
      <c r="B257" s="278" t="s">
        <v>164</v>
      </c>
      <c r="C257" s="278"/>
      <c r="D257" s="278"/>
      <c r="E257" s="278"/>
      <c r="F257" s="278"/>
      <c r="G257" s="278"/>
      <c r="H257" s="278"/>
    </row>
    <row r="258" spans="1:10" ht="15" customHeight="1">
      <c r="A258" s="7" t="s">
        <v>14</v>
      </c>
      <c r="B258" s="8" t="s">
        <v>15</v>
      </c>
      <c r="C258" s="9" t="s">
        <v>16</v>
      </c>
      <c r="D258" s="10" t="s">
        <v>17</v>
      </c>
      <c r="E258" s="7" t="s">
        <v>18</v>
      </c>
      <c r="F258" s="11" t="s">
        <v>4</v>
      </c>
      <c r="G258" s="7" t="s">
        <v>19</v>
      </c>
      <c r="H258" s="7" t="s">
        <v>20</v>
      </c>
      <c r="J258" s="14" t="e">
        <f>#REF!*#REF!</f>
        <v>#REF!</v>
      </c>
    </row>
    <row r="259" spans="1:10" s="120" customFormat="1" ht="15" customHeight="1">
      <c r="A259" s="286" t="s">
        <v>166</v>
      </c>
      <c r="B259" s="101" t="s">
        <v>10</v>
      </c>
      <c r="C259" s="103">
        <f>E259/D259</f>
        <v>0.11982758620689656</v>
      </c>
      <c r="D259" s="12">
        <v>232</v>
      </c>
      <c r="E259" s="191">
        <v>27.8</v>
      </c>
      <c r="F259" s="12" t="s">
        <v>1</v>
      </c>
      <c r="G259" s="102">
        <v>21525</v>
      </c>
      <c r="H259" s="14">
        <f>G259*E259</f>
        <v>598395</v>
      </c>
      <c r="I259" s="119"/>
      <c r="J259" s="123" t="e">
        <f>#REF!*#REF!</f>
        <v>#REF!</v>
      </c>
    </row>
    <row r="260" spans="1:10" s="120" customFormat="1" ht="15" customHeight="1">
      <c r="A260" s="287"/>
      <c r="B260" s="17" t="s">
        <v>120</v>
      </c>
      <c r="C260" s="104">
        <f>E260/D260</f>
        <v>0.10948275862068965</v>
      </c>
      <c r="D260" s="17">
        <v>232</v>
      </c>
      <c r="E260" s="41">
        <v>25.4</v>
      </c>
      <c r="F260" s="17" t="s">
        <v>1</v>
      </c>
      <c r="G260" s="18">
        <v>86100</v>
      </c>
      <c r="H260" s="19">
        <f>G260*E260</f>
        <v>2186940</v>
      </c>
      <c r="I260" s="126">
        <f>232*17000</f>
        <v>3944000</v>
      </c>
      <c r="J260" s="123" t="e">
        <f>#REF!*#REF!</f>
        <v>#REF!</v>
      </c>
    </row>
    <row r="261" spans="1:10" s="120" customFormat="1" ht="19.2" customHeight="1">
      <c r="A261" s="288"/>
      <c r="B261" s="17" t="s">
        <v>121</v>
      </c>
      <c r="C261" s="104">
        <f t="shared" ref="C261:C264" si="48">E261/D261</f>
        <v>3.7499999999999999E-2</v>
      </c>
      <c r="D261" s="17">
        <v>232</v>
      </c>
      <c r="E261" s="41">
        <v>8.6999999999999993</v>
      </c>
      <c r="F261" s="17" t="s">
        <v>1</v>
      </c>
      <c r="G261" s="18">
        <v>67200</v>
      </c>
      <c r="H261" s="19">
        <f t="shared" ref="H261:H264" si="49">G261*E261</f>
        <v>584640</v>
      </c>
      <c r="I261" s="130">
        <f>I260-H268</f>
        <v>0</v>
      </c>
      <c r="J261" s="123" t="e">
        <f>#REF!*#REF!</f>
        <v>#REF!</v>
      </c>
    </row>
    <row r="262" spans="1:10" s="120" customFormat="1" ht="21.6" customHeight="1">
      <c r="A262" s="288"/>
      <c r="B262" s="17" t="s">
        <v>71</v>
      </c>
      <c r="C262" s="104">
        <f t="shared" si="48"/>
        <v>1.2931034482758621E-2</v>
      </c>
      <c r="D262" s="17">
        <v>232</v>
      </c>
      <c r="E262" s="225" t="s">
        <v>43</v>
      </c>
      <c r="F262" s="17" t="s">
        <v>1</v>
      </c>
      <c r="G262" s="18">
        <v>78750</v>
      </c>
      <c r="H262" s="19">
        <f t="shared" si="49"/>
        <v>236250</v>
      </c>
      <c r="J262" s="123">
        <f>184800+136500</f>
        <v>321300</v>
      </c>
    </row>
    <row r="263" spans="1:10" s="120" customFormat="1" ht="15" customHeight="1">
      <c r="A263" s="288"/>
      <c r="B263" s="17" t="s">
        <v>72</v>
      </c>
      <c r="C263" s="104">
        <f t="shared" si="48"/>
        <v>4.3534482758620686E-2</v>
      </c>
      <c r="D263" s="17">
        <v>232</v>
      </c>
      <c r="E263" s="225" t="s">
        <v>49</v>
      </c>
      <c r="F263" s="17" t="s">
        <v>1</v>
      </c>
      <c r="G263" s="18">
        <v>18900</v>
      </c>
      <c r="H263" s="19">
        <f t="shared" si="49"/>
        <v>190890</v>
      </c>
      <c r="I263" s="126">
        <f>233*17000</f>
        <v>3961000</v>
      </c>
      <c r="J263" s="123">
        <v>136716</v>
      </c>
    </row>
    <row r="264" spans="1:10" s="120" customFormat="1" ht="15" customHeight="1">
      <c r="A264" s="288"/>
      <c r="B264" s="17" t="s">
        <v>74</v>
      </c>
      <c r="C264" s="104">
        <f t="shared" si="48"/>
        <v>4.3103448275862074E-4</v>
      </c>
      <c r="D264" s="17">
        <v>232</v>
      </c>
      <c r="E264" s="225" t="s">
        <v>41</v>
      </c>
      <c r="F264" s="17" t="s">
        <v>1</v>
      </c>
      <c r="G264" s="18">
        <v>63000</v>
      </c>
      <c r="H264" s="19">
        <f t="shared" si="49"/>
        <v>6300</v>
      </c>
      <c r="I264" s="130">
        <f>H268-I263</f>
        <v>-17000</v>
      </c>
      <c r="J264" s="131"/>
    </row>
    <row r="265" spans="1:10" s="120" customFormat="1" ht="15" customHeight="1">
      <c r="A265" s="288"/>
      <c r="B265" s="17" t="s">
        <v>165</v>
      </c>
      <c r="C265" s="74"/>
      <c r="D265" s="17"/>
      <c r="E265" s="225" t="s">
        <v>41</v>
      </c>
      <c r="F265" s="67" t="s">
        <v>1</v>
      </c>
      <c r="G265" s="18">
        <v>47250</v>
      </c>
      <c r="H265" s="19">
        <f t="shared" ref="H265" si="50">E265*G265</f>
        <v>4725</v>
      </c>
      <c r="I265" s="130">
        <f>0.1*232</f>
        <v>23.200000000000003</v>
      </c>
      <c r="J265" s="131"/>
    </row>
    <row r="266" spans="1:10" s="120" customFormat="1" ht="15" customHeight="1">
      <c r="A266" s="288"/>
      <c r="B266" s="37" t="s">
        <v>11</v>
      </c>
      <c r="C266" s="37"/>
      <c r="D266" s="37"/>
      <c r="E266" s="163">
        <v>0.1</v>
      </c>
      <c r="F266" s="37" t="s">
        <v>1</v>
      </c>
      <c r="G266" s="122">
        <v>57750</v>
      </c>
      <c r="H266" s="123">
        <f t="shared" ref="H266" si="51">E266*G266</f>
        <v>5775</v>
      </c>
      <c r="J266" s="131"/>
    </row>
    <row r="267" spans="1:10" s="120" customFormat="1" ht="15" customHeight="1">
      <c r="A267" s="288"/>
      <c r="B267" s="127" t="s">
        <v>24</v>
      </c>
      <c r="C267" s="127"/>
      <c r="D267" s="127"/>
      <c r="E267" s="242"/>
      <c r="F267" s="129"/>
      <c r="G267" s="127"/>
      <c r="H267" s="220">
        <f>130426-341</f>
        <v>130085</v>
      </c>
      <c r="J267" s="131"/>
    </row>
    <row r="268" spans="1:10" s="149" customFormat="1" ht="22.2" customHeight="1">
      <c r="A268" s="289"/>
      <c r="B268" s="231"/>
      <c r="C268" s="231"/>
      <c r="D268" s="231"/>
      <c r="E268" s="250"/>
      <c r="F268" s="232"/>
      <c r="G268" s="231"/>
      <c r="H268" s="233">
        <f>SUM(H259:H267)</f>
        <v>3944000</v>
      </c>
      <c r="I268" s="148">
        <f>I263-H268</f>
        <v>17000</v>
      </c>
    </row>
    <row r="269" spans="1:10" s="120" customFormat="1" ht="15" customHeight="1">
      <c r="A269" s="279" t="s">
        <v>167</v>
      </c>
      <c r="B269" s="114" t="s">
        <v>10</v>
      </c>
      <c r="C269" s="115">
        <f>E269/D269</f>
        <v>0.11931330472103005</v>
      </c>
      <c r="D269" s="37">
        <v>233</v>
      </c>
      <c r="E269" s="185">
        <v>27.8</v>
      </c>
      <c r="F269" s="116" t="s">
        <v>1</v>
      </c>
      <c r="G269" s="117">
        <v>21525</v>
      </c>
      <c r="H269" s="118">
        <f>E269*G269</f>
        <v>598395</v>
      </c>
      <c r="I269" s="183">
        <f>H268-I260</f>
        <v>0</v>
      </c>
    </row>
    <row r="270" spans="1:10" s="120" customFormat="1" ht="15" customHeight="1">
      <c r="A270" s="280"/>
      <c r="B270" s="37" t="s">
        <v>37</v>
      </c>
      <c r="C270" s="37">
        <f>E270/D270</f>
        <v>5.8798283261802572E-2</v>
      </c>
      <c r="D270" s="37">
        <v>233</v>
      </c>
      <c r="E270" s="163">
        <v>13.7</v>
      </c>
      <c r="F270" s="37" t="s">
        <v>1</v>
      </c>
      <c r="G270" s="122">
        <v>169560</v>
      </c>
      <c r="H270" s="123">
        <f>E270*G270</f>
        <v>2322972</v>
      </c>
      <c r="I270" s="125">
        <f>232*17000</f>
        <v>3944000</v>
      </c>
    </row>
    <row r="271" spans="1:10" s="120" customFormat="1" ht="15" customHeight="1">
      <c r="A271" s="280"/>
      <c r="B271" s="37" t="s">
        <v>38</v>
      </c>
      <c r="C271" s="37">
        <f t="shared" ref="C271:C273" si="52">E271/D271</f>
        <v>0.5622317596566524</v>
      </c>
      <c r="D271" s="37">
        <v>233</v>
      </c>
      <c r="E271" s="163">
        <v>131</v>
      </c>
      <c r="F271" s="37" t="s">
        <v>1</v>
      </c>
      <c r="G271" s="122">
        <v>3456</v>
      </c>
      <c r="H271" s="123">
        <f t="shared" ref="H271:H276" si="53">E271*G271</f>
        <v>452736</v>
      </c>
    </row>
    <row r="272" spans="1:10" s="120" customFormat="1" ht="15" customHeight="1">
      <c r="A272" s="280"/>
      <c r="B272" s="37" t="s">
        <v>39</v>
      </c>
      <c r="C272" s="37">
        <f t="shared" si="52"/>
        <v>2.6609442060085836E-2</v>
      </c>
      <c r="D272" s="37">
        <v>233</v>
      </c>
      <c r="E272" s="163">
        <v>6.2</v>
      </c>
      <c r="F272" s="37" t="s">
        <v>1</v>
      </c>
      <c r="G272" s="122">
        <v>23100</v>
      </c>
      <c r="H272" s="123">
        <f t="shared" si="53"/>
        <v>143220</v>
      </c>
      <c r="I272" s="135">
        <f>I270-H278</f>
        <v>0</v>
      </c>
    </row>
    <row r="273" spans="1:9" s="120" customFormat="1" ht="15" customHeight="1">
      <c r="A273" s="280"/>
      <c r="B273" s="37" t="s">
        <v>142</v>
      </c>
      <c r="C273" s="143">
        <f t="shared" si="52"/>
        <v>4.2918454935622317E-3</v>
      </c>
      <c r="D273" s="37">
        <v>233</v>
      </c>
      <c r="E273" s="163">
        <v>1</v>
      </c>
      <c r="F273" s="37" t="s">
        <v>3</v>
      </c>
      <c r="G273" s="122">
        <v>141750</v>
      </c>
      <c r="H273" s="123">
        <f t="shared" si="53"/>
        <v>141750</v>
      </c>
    </row>
    <row r="274" spans="1:9" s="120" customFormat="1" ht="15" customHeight="1">
      <c r="A274" s="280"/>
      <c r="B274" s="37" t="s">
        <v>50</v>
      </c>
      <c r="C274" s="163"/>
      <c r="D274" s="37"/>
      <c r="E274" s="163">
        <v>0.1</v>
      </c>
      <c r="F274" s="37" t="s">
        <v>3</v>
      </c>
      <c r="G274" s="122">
        <v>36750</v>
      </c>
      <c r="H274" s="123">
        <f t="shared" si="53"/>
        <v>3675</v>
      </c>
    </row>
    <row r="275" spans="1:9" s="120" customFormat="1" ht="15" customHeight="1">
      <c r="A275" s="280"/>
      <c r="B275" s="162" t="s">
        <v>143</v>
      </c>
      <c r="C275" s="163"/>
      <c r="D275" s="167"/>
      <c r="E275" s="186">
        <v>7.7</v>
      </c>
      <c r="F275" s="37" t="s">
        <v>1</v>
      </c>
      <c r="G275" s="122">
        <v>18900</v>
      </c>
      <c r="H275" s="123">
        <f t="shared" si="53"/>
        <v>145530</v>
      </c>
    </row>
    <row r="276" spans="1:9" s="120" customFormat="1" ht="15" customHeight="1">
      <c r="A276" s="280"/>
      <c r="B276" s="37" t="s">
        <v>11</v>
      </c>
      <c r="C276" s="37"/>
      <c r="D276" s="37"/>
      <c r="E276" s="163">
        <v>0.1</v>
      </c>
      <c r="F276" s="37" t="s">
        <v>1</v>
      </c>
      <c r="G276" s="122">
        <v>57750</v>
      </c>
      <c r="H276" s="123">
        <f t="shared" si="53"/>
        <v>5775</v>
      </c>
    </row>
    <row r="277" spans="1:9" s="120" customFormat="1" ht="15" customHeight="1">
      <c r="A277" s="281"/>
      <c r="B277" s="127" t="s">
        <v>24</v>
      </c>
      <c r="C277" s="127"/>
      <c r="D277" s="127"/>
      <c r="E277" s="242"/>
      <c r="F277" s="129"/>
      <c r="G277" s="127"/>
      <c r="H277" s="220">
        <f>130426-479</f>
        <v>129947</v>
      </c>
      <c r="I277" s="120">
        <v>130426</v>
      </c>
    </row>
    <row r="278" spans="1:9" s="149" customFormat="1" ht="18.600000000000001" customHeight="1">
      <c r="A278" s="150"/>
      <c r="B278" s="151"/>
      <c r="C278" s="152"/>
      <c r="D278" s="152"/>
      <c r="E278" s="243"/>
      <c r="F278" s="154"/>
      <c r="G278" s="151"/>
      <c r="H278" s="155">
        <f>SUM(H269:H277)</f>
        <v>3944000</v>
      </c>
      <c r="I278" s="184">
        <f>I270-H278</f>
        <v>0</v>
      </c>
    </row>
    <row r="279" spans="1:9" s="204" customFormat="1" ht="15" customHeight="1">
      <c r="A279" s="205"/>
      <c r="B279" s="114" t="s">
        <v>21</v>
      </c>
      <c r="C279" s="209">
        <f>E279/D279</f>
        <v>0.11931330472103005</v>
      </c>
      <c r="D279" s="196">
        <v>233</v>
      </c>
      <c r="E279" s="188" t="s">
        <v>100</v>
      </c>
      <c r="F279" s="210" t="s">
        <v>1</v>
      </c>
      <c r="G279" s="211">
        <v>21525</v>
      </c>
      <c r="H279" s="212">
        <f>E279*G279</f>
        <v>598395</v>
      </c>
    </row>
    <row r="280" spans="1:9" s="204" customFormat="1" ht="15" customHeight="1">
      <c r="A280" s="290" t="s">
        <v>168</v>
      </c>
      <c r="B280" s="210" t="s">
        <v>146</v>
      </c>
      <c r="C280" s="213">
        <f t="shared" ref="C280:C282" si="54">E280/D280</f>
        <v>7.8969957081545056E-2</v>
      </c>
      <c r="D280" s="196">
        <v>233</v>
      </c>
      <c r="E280" s="188" t="s">
        <v>174</v>
      </c>
      <c r="F280" s="196" t="s">
        <v>1</v>
      </c>
      <c r="G280" s="211">
        <v>129150</v>
      </c>
      <c r="H280" s="215">
        <f>G280*E280</f>
        <v>2376360</v>
      </c>
    </row>
    <row r="281" spans="1:9" s="204" customFormat="1" ht="19.2" customHeight="1">
      <c r="A281" s="290"/>
      <c r="B281" s="37" t="s">
        <v>142</v>
      </c>
      <c r="C281" s="143">
        <f t="shared" si="54"/>
        <v>4.2918454935622317E-3</v>
      </c>
      <c r="D281" s="164">
        <v>233</v>
      </c>
      <c r="E281" s="163">
        <v>1</v>
      </c>
      <c r="F281" s="37" t="s">
        <v>3</v>
      </c>
      <c r="G281" s="122">
        <v>141750</v>
      </c>
      <c r="H281" s="123">
        <f t="shared" ref="H281" si="55">E281*G281</f>
        <v>141750</v>
      </c>
      <c r="I281" s="207">
        <f>232*17000</f>
        <v>3944000</v>
      </c>
    </row>
    <row r="282" spans="1:9" s="204" customFormat="1" ht="15" customHeight="1">
      <c r="A282" s="290"/>
      <c r="B282" s="196" t="s">
        <v>6</v>
      </c>
      <c r="C282" s="216">
        <f t="shared" si="54"/>
        <v>0.5622317596566524</v>
      </c>
      <c r="D282" s="196">
        <v>233</v>
      </c>
      <c r="E282" s="189" t="s">
        <v>147</v>
      </c>
      <c r="F282" s="196" t="s">
        <v>1</v>
      </c>
      <c r="G282" s="214">
        <v>3510</v>
      </c>
      <c r="H282" s="215">
        <f>E282*G282</f>
        <v>459810</v>
      </c>
    </row>
    <row r="283" spans="1:9" s="204" customFormat="1" ht="15" customHeight="1">
      <c r="A283" s="290"/>
      <c r="B283" s="196" t="s">
        <v>148</v>
      </c>
      <c r="C283" s="216"/>
      <c r="D283" s="196"/>
      <c r="E283" s="189" t="s">
        <v>150</v>
      </c>
      <c r="F283" s="196" t="s">
        <v>149</v>
      </c>
      <c r="G283" s="214">
        <v>37800</v>
      </c>
      <c r="H283" s="215">
        <f>E283*G283</f>
        <v>75600</v>
      </c>
    </row>
    <row r="284" spans="1:9" s="204" customFormat="1" ht="15" customHeight="1">
      <c r="A284" s="290"/>
      <c r="B284" s="196" t="s">
        <v>151</v>
      </c>
      <c r="C284" s="216"/>
      <c r="D284" s="196"/>
      <c r="E284" s="189" t="s">
        <v>25</v>
      </c>
      <c r="F284" s="196" t="s">
        <v>3</v>
      </c>
      <c r="G284" s="214">
        <v>44280</v>
      </c>
      <c r="H284" s="215">
        <f>E284*G284</f>
        <v>44280</v>
      </c>
    </row>
    <row r="285" spans="1:9" s="204" customFormat="1" ht="15" customHeight="1">
      <c r="A285" s="290"/>
      <c r="B285" s="196" t="s">
        <v>152</v>
      </c>
      <c r="C285" s="216"/>
      <c r="D285" s="196"/>
      <c r="E285" s="189" t="s">
        <v>163</v>
      </c>
      <c r="F285" s="196" t="s">
        <v>1</v>
      </c>
      <c r="G285" s="214">
        <v>24150</v>
      </c>
      <c r="H285" s="215">
        <f t="shared" ref="H285:H287" si="56">E285*G285</f>
        <v>125580</v>
      </c>
    </row>
    <row r="286" spans="1:9" s="204" customFormat="1" ht="15" customHeight="1">
      <c r="A286" s="290"/>
      <c r="B286" s="196" t="s">
        <v>36</v>
      </c>
      <c r="C286" s="213"/>
      <c r="D286" s="196"/>
      <c r="E286" s="189" t="s">
        <v>41</v>
      </c>
      <c r="F286" s="196" t="s">
        <v>3</v>
      </c>
      <c r="G286" s="122">
        <v>36750</v>
      </c>
      <c r="H286" s="123">
        <f t="shared" si="56"/>
        <v>3675</v>
      </c>
    </row>
    <row r="287" spans="1:9" s="204" customFormat="1" ht="15" customHeight="1">
      <c r="A287" s="290"/>
      <c r="B287" s="196" t="s">
        <v>11</v>
      </c>
      <c r="C287" s="197"/>
      <c r="D287" s="196"/>
      <c r="E287" s="248">
        <v>0.1</v>
      </c>
      <c r="F287" s="196" t="s">
        <v>1</v>
      </c>
      <c r="G287" s="122">
        <v>57750</v>
      </c>
      <c r="H287" s="123">
        <f t="shared" si="56"/>
        <v>5775</v>
      </c>
      <c r="I287" s="208">
        <f>233*17000</f>
        <v>3961000</v>
      </c>
    </row>
    <row r="288" spans="1:9" s="204" customFormat="1" ht="15" customHeight="1">
      <c r="A288" s="290"/>
      <c r="B288" s="217" t="s">
        <v>24</v>
      </c>
      <c r="C288" s="217"/>
      <c r="D288" s="217"/>
      <c r="E288" s="246"/>
      <c r="F288" s="219"/>
      <c r="G288" s="217"/>
      <c r="H288" s="220">
        <f>130426-651</f>
        <v>129775</v>
      </c>
    </row>
    <row r="289" spans="1:9" s="134" customFormat="1" ht="20.399999999999999" customHeight="1">
      <c r="A289" s="199"/>
      <c r="B289" s="20"/>
      <c r="C289" s="20"/>
      <c r="D289" s="20"/>
      <c r="E289" s="245"/>
      <c r="F289" s="21"/>
      <c r="G289" s="20"/>
      <c r="H289" s="5">
        <f>SUM(H279:H288)</f>
        <v>3961000</v>
      </c>
      <c r="I289" s="198">
        <f>H289-I287</f>
        <v>0</v>
      </c>
    </row>
    <row r="290" spans="1:9" s="134" customFormat="1" ht="20.399999999999999" customHeight="1">
      <c r="A290" s="283" t="s">
        <v>169</v>
      </c>
      <c r="B290" s="116" t="s">
        <v>21</v>
      </c>
      <c r="C290" s="140">
        <f>E290/D290</f>
        <v>0.11931330472103005</v>
      </c>
      <c r="D290" s="37">
        <v>233</v>
      </c>
      <c r="E290" s="187" t="s">
        <v>100</v>
      </c>
      <c r="F290" s="116" t="s">
        <v>1</v>
      </c>
      <c r="G290" s="142">
        <v>21525</v>
      </c>
      <c r="H290" s="118">
        <f>E290*G290</f>
        <v>598395</v>
      </c>
      <c r="I290" s="198"/>
    </row>
    <row r="291" spans="1:9" s="134" customFormat="1" ht="20.399999999999999" customHeight="1">
      <c r="A291" s="284"/>
      <c r="B291" s="37" t="s">
        <v>80</v>
      </c>
      <c r="C291" s="143">
        <f t="shared" ref="C291:C292" si="57">E291/D291</f>
        <v>6.9527896995708147E-2</v>
      </c>
      <c r="D291" s="37">
        <v>233</v>
      </c>
      <c r="E291" s="163">
        <v>16.2</v>
      </c>
      <c r="F291" s="37" t="s">
        <v>1</v>
      </c>
      <c r="G291" s="122">
        <v>140700</v>
      </c>
      <c r="H291" s="123">
        <f>E291*G291-1892</f>
        <v>2277448</v>
      </c>
      <c r="I291" s="198"/>
    </row>
    <row r="292" spans="1:9" s="134" customFormat="1" ht="20.399999999999999" customHeight="1">
      <c r="A292" s="284"/>
      <c r="B292" s="37" t="s">
        <v>121</v>
      </c>
      <c r="C292" s="145">
        <f t="shared" si="57"/>
        <v>3.1759656652360517E-2</v>
      </c>
      <c r="D292" s="37">
        <v>233</v>
      </c>
      <c r="E292" s="225" t="s">
        <v>129</v>
      </c>
      <c r="F292" s="37" t="s">
        <v>1</v>
      </c>
      <c r="G292" s="122">
        <v>67200</v>
      </c>
      <c r="H292" s="123">
        <f>E292*G292</f>
        <v>497280</v>
      </c>
      <c r="I292" s="198"/>
    </row>
    <row r="293" spans="1:9" s="134" customFormat="1" ht="20.399999999999999" customHeight="1">
      <c r="A293" s="284"/>
      <c r="B293" s="37" t="s">
        <v>71</v>
      </c>
      <c r="C293" s="145"/>
      <c r="D293" s="37">
        <v>233</v>
      </c>
      <c r="E293" s="239" t="s">
        <v>43</v>
      </c>
      <c r="F293" s="37" t="s">
        <v>1</v>
      </c>
      <c r="G293" s="122">
        <v>78750</v>
      </c>
      <c r="H293" s="123">
        <f t="shared" ref="H293:H297" si="58">E293*G293</f>
        <v>236250</v>
      </c>
      <c r="I293" s="198">
        <f>233*17000</f>
        <v>3961000</v>
      </c>
    </row>
    <row r="294" spans="1:9" s="134" customFormat="1" ht="20.399999999999999" customHeight="1">
      <c r="A294" s="284"/>
      <c r="B294" s="37" t="s">
        <v>72</v>
      </c>
      <c r="C294" s="145"/>
      <c r="D294" s="37">
        <v>233</v>
      </c>
      <c r="E294" s="239" t="s">
        <v>173</v>
      </c>
      <c r="F294" s="37" t="s">
        <v>3</v>
      </c>
      <c r="G294" s="122">
        <v>20478</v>
      </c>
      <c r="H294" s="123">
        <f t="shared" si="58"/>
        <v>204780</v>
      </c>
      <c r="I294" s="198"/>
    </row>
    <row r="295" spans="1:9" s="134" customFormat="1" ht="20.399999999999999" customHeight="1">
      <c r="A295" s="284"/>
      <c r="B295" s="37" t="s">
        <v>74</v>
      </c>
      <c r="C295" s="37"/>
      <c r="D295" s="37"/>
      <c r="E295" s="239" t="s">
        <v>41</v>
      </c>
      <c r="F295" s="37" t="s">
        <v>1</v>
      </c>
      <c r="G295" s="122">
        <v>63000</v>
      </c>
      <c r="H295" s="123">
        <f t="shared" si="58"/>
        <v>6300</v>
      </c>
      <c r="I295" s="198"/>
    </row>
    <row r="296" spans="1:9" s="134" customFormat="1" ht="20.399999999999999" customHeight="1">
      <c r="A296" s="284"/>
      <c r="B296" s="37" t="s">
        <v>61</v>
      </c>
      <c r="C296" s="147"/>
      <c r="D296" s="37"/>
      <c r="E296" s="239" t="s">
        <v>41</v>
      </c>
      <c r="F296" s="37" t="s">
        <v>1</v>
      </c>
      <c r="G296" s="122">
        <v>60900</v>
      </c>
      <c r="H296" s="123">
        <f t="shared" si="58"/>
        <v>6090</v>
      </c>
      <c r="I296" s="198">
        <f>H299-I293</f>
        <v>0</v>
      </c>
    </row>
    <row r="297" spans="1:9" s="134" customFormat="1" ht="20.399999999999999" customHeight="1">
      <c r="A297" s="284"/>
      <c r="B297" s="37" t="s">
        <v>75</v>
      </c>
      <c r="C297" s="127"/>
      <c r="D297" s="37"/>
      <c r="E297" s="239" t="s">
        <v>41</v>
      </c>
      <c r="F297" s="37" t="s">
        <v>1</v>
      </c>
      <c r="G297" s="122">
        <v>42000</v>
      </c>
      <c r="H297" s="123">
        <f t="shared" si="58"/>
        <v>4200</v>
      </c>
      <c r="I297" s="198"/>
    </row>
    <row r="298" spans="1:9" s="134" customFormat="1" ht="20.399999999999999" customHeight="1">
      <c r="A298" s="227"/>
      <c r="B298" s="217" t="s">
        <v>24</v>
      </c>
      <c r="C298" s="217"/>
      <c r="D298" s="217"/>
      <c r="E298" s="246"/>
      <c r="F298" s="219"/>
      <c r="G298" s="217"/>
      <c r="H298" s="220">
        <f>130426-169</f>
        <v>130257</v>
      </c>
      <c r="I298" s="198"/>
    </row>
    <row r="299" spans="1:9" s="134" customFormat="1" ht="20.399999999999999" customHeight="1">
      <c r="A299" s="199"/>
      <c r="B299" s="228"/>
      <c r="C299" s="200"/>
      <c r="D299" s="228"/>
      <c r="E299" s="247"/>
      <c r="F299" s="228"/>
      <c r="G299" s="229"/>
      <c r="H299" s="230">
        <f>SUM(H290:H298)</f>
        <v>3961000</v>
      </c>
      <c r="I299" s="198">
        <f>H299-I293</f>
        <v>0</v>
      </c>
    </row>
    <row r="300" spans="1:9" s="134" customFormat="1" ht="15" customHeight="1">
      <c r="A300" s="276" t="s">
        <v>170</v>
      </c>
      <c r="B300" s="116" t="s">
        <v>21</v>
      </c>
      <c r="C300" s="140">
        <f>E300/D300</f>
        <v>0.11931330472103005</v>
      </c>
      <c r="D300" s="158">
        <v>233</v>
      </c>
      <c r="E300" s="188" t="s">
        <v>100</v>
      </c>
      <c r="F300" s="160" t="s">
        <v>1</v>
      </c>
      <c r="G300" s="142">
        <v>21525</v>
      </c>
      <c r="H300" s="161">
        <f>E300*G300</f>
        <v>598395</v>
      </c>
      <c r="I300" s="222"/>
    </row>
    <row r="301" spans="1:9" s="134" customFormat="1" ht="15" customHeight="1">
      <c r="A301" s="276"/>
      <c r="B301" s="196" t="s">
        <v>5</v>
      </c>
      <c r="C301" s="143">
        <f>E301/D301</f>
        <v>5.3218884120171672E-2</v>
      </c>
      <c r="D301" s="164">
        <v>233</v>
      </c>
      <c r="E301" s="189" t="s">
        <v>171</v>
      </c>
      <c r="F301" s="37" t="s">
        <v>1</v>
      </c>
      <c r="G301" s="166">
        <v>178200</v>
      </c>
      <c r="H301" s="123">
        <f t="shared" ref="H301:H306" si="59">E301*G301</f>
        <v>2209680</v>
      </c>
    </row>
    <row r="302" spans="1:9" s="134" customFormat="1" ht="15" customHeight="1">
      <c r="A302" s="276"/>
      <c r="B302" s="196" t="s">
        <v>31</v>
      </c>
      <c r="C302" s="143">
        <f t="shared" ref="C302:C304" si="60">E302/D302</f>
        <v>3.4334763948497854E-2</v>
      </c>
      <c r="D302" s="164">
        <v>233</v>
      </c>
      <c r="E302" s="189" t="s">
        <v>22</v>
      </c>
      <c r="F302" s="37" t="s">
        <v>1</v>
      </c>
      <c r="G302" s="166">
        <v>89250</v>
      </c>
      <c r="H302" s="123">
        <f t="shared" si="59"/>
        <v>714000</v>
      </c>
    </row>
    <row r="303" spans="1:9" s="134" customFormat="1" ht="15" customHeight="1">
      <c r="A303" s="276"/>
      <c r="B303" s="196" t="s">
        <v>33</v>
      </c>
      <c r="C303" s="143">
        <f t="shared" si="60"/>
        <v>4.2918454935622317E-3</v>
      </c>
      <c r="D303" s="164">
        <v>233</v>
      </c>
      <c r="E303" s="163">
        <v>1</v>
      </c>
      <c r="F303" s="37" t="s">
        <v>3</v>
      </c>
      <c r="G303" s="122">
        <v>137550</v>
      </c>
      <c r="H303" s="123">
        <f t="shared" si="59"/>
        <v>137550</v>
      </c>
    </row>
    <row r="304" spans="1:9" s="134" customFormat="1" ht="15" customHeight="1">
      <c r="A304" s="221"/>
      <c r="B304" s="162" t="s">
        <v>143</v>
      </c>
      <c r="C304" s="163">
        <f t="shared" si="60"/>
        <v>4.2918454935622321E-4</v>
      </c>
      <c r="D304" s="164">
        <v>233</v>
      </c>
      <c r="E304" s="163">
        <v>0.1</v>
      </c>
      <c r="F304" s="37" t="s">
        <v>3</v>
      </c>
      <c r="G304" s="122">
        <v>36750</v>
      </c>
      <c r="H304" s="123">
        <f t="shared" si="59"/>
        <v>3675</v>
      </c>
    </row>
    <row r="305" spans="1:9" s="134" customFormat="1" ht="15" customHeight="1">
      <c r="A305" s="221"/>
      <c r="B305" s="162" t="s">
        <v>140</v>
      </c>
      <c r="C305" s="163"/>
      <c r="D305" s="167"/>
      <c r="E305" s="186">
        <v>6.7</v>
      </c>
      <c r="F305" s="37" t="s">
        <v>1</v>
      </c>
      <c r="G305" s="122">
        <v>24150</v>
      </c>
      <c r="H305" s="123">
        <f t="shared" si="59"/>
        <v>161805</v>
      </c>
    </row>
    <row r="306" spans="1:9" s="134" customFormat="1" ht="15" customHeight="1">
      <c r="A306" s="221"/>
      <c r="B306" s="37" t="s">
        <v>61</v>
      </c>
      <c r="C306" s="147"/>
      <c r="D306" s="37"/>
      <c r="E306" s="239" t="s">
        <v>41</v>
      </c>
      <c r="F306" s="37" t="s">
        <v>1</v>
      </c>
      <c r="G306" s="122">
        <v>57750</v>
      </c>
      <c r="H306" s="123">
        <f t="shared" si="59"/>
        <v>5775</v>
      </c>
    </row>
    <row r="307" spans="1:9" s="134" customFormat="1" ht="15" customHeight="1">
      <c r="A307" s="221"/>
      <c r="B307" s="168" t="s">
        <v>24</v>
      </c>
      <c r="C307" s="147"/>
      <c r="D307" s="169"/>
      <c r="E307" s="170"/>
      <c r="F307" s="164" t="s">
        <v>1</v>
      </c>
      <c r="G307" s="122"/>
      <c r="H307" s="133">
        <f>130426-306</f>
        <v>130120</v>
      </c>
      <c r="I307" s="235">
        <f>233*17000</f>
        <v>3961000</v>
      </c>
    </row>
    <row r="308" spans="1:9" s="156" customFormat="1" ht="19.8" customHeight="1">
      <c r="A308" s="201"/>
      <c r="B308" s="177"/>
      <c r="C308" s="177"/>
      <c r="D308" s="177"/>
      <c r="E308" s="190"/>
      <c r="F308" s="202"/>
      <c r="G308" s="177"/>
      <c r="H308" s="203">
        <f>SUM(H300:H307)</f>
        <v>3961000</v>
      </c>
      <c r="I308" s="184">
        <f>H308-I307</f>
        <v>0</v>
      </c>
    </row>
    <row r="309" spans="1:9">
      <c r="A309" s="110"/>
      <c r="B309" s="110"/>
      <c r="C309" s="110"/>
      <c r="D309" s="110"/>
      <c r="E309" s="249"/>
    </row>
    <row r="310" spans="1:9" ht="18">
      <c r="A310" s="277" t="s">
        <v>26</v>
      </c>
      <c r="B310" s="277"/>
      <c r="C310" s="277" t="s">
        <v>27</v>
      </c>
      <c r="D310" s="277"/>
      <c r="E310" s="277"/>
      <c r="F310" s="1"/>
      <c r="G310" s="277" t="s">
        <v>28</v>
      </c>
      <c r="H310" s="277"/>
    </row>
    <row r="311" spans="1:9" ht="18">
      <c r="A311" s="33"/>
      <c r="B311" s="33"/>
      <c r="C311" s="33"/>
      <c r="D311" s="33"/>
      <c r="E311" s="33"/>
      <c r="F311" s="1"/>
      <c r="G311" s="33"/>
      <c r="H311" s="33"/>
    </row>
    <row r="312" spans="1:9" ht="18">
      <c r="A312" s="33"/>
      <c r="B312" s="33"/>
      <c r="C312" s="33"/>
      <c r="D312" s="33"/>
      <c r="E312" s="33"/>
      <c r="F312" s="1"/>
      <c r="G312" s="33"/>
      <c r="H312" s="33"/>
    </row>
    <row r="313" spans="1:9" ht="18">
      <c r="A313" s="33"/>
      <c r="B313" s="33"/>
      <c r="C313" s="33"/>
      <c r="D313" s="33"/>
      <c r="E313" s="33"/>
      <c r="F313" s="1"/>
      <c r="G313" s="33"/>
      <c r="H313" s="33"/>
    </row>
    <row r="314" spans="1:9" ht="18">
      <c r="A314" s="33"/>
      <c r="B314" s="33"/>
      <c r="C314" s="33"/>
      <c r="D314" s="33"/>
      <c r="E314" s="33"/>
      <c r="F314" s="1"/>
      <c r="G314" s="33"/>
      <c r="H314" s="33"/>
    </row>
    <row r="315" spans="1:9" ht="18">
      <c r="A315" s="33"/>
      <c r="B315" s="33"/>
      <c r="C315" s="33"/>
      <c r="D315" s="33"/>
      <c r="E315" s="33"/>
      <c r="F315" s="1"/>
      <c r="G315" s="33"/>
      <c r="H315" s="33"/>
    </row>
    <row r="316" spans="1:9" ht="18">
      <c r="A316" s="33"/>
      <c r="B316" s="33"/>
      <c r="C316" s="33"/>
      <c r="D316" s="33"/>
      <c r="E316" s="33"/>
      <c r="F316" s="1"/>
      <c r="G316" s="33"/>
      <c r="H316" s="33"/>
    </row>
    <row r="317" spans="1:9" ht="18">
      <c r="A317" s="33"/>
      <c r="B317" s="33"/>
      <c r="C317" s="33"/>
      <c r="D317" s="33"/>
      <c r="E317" s="33"/>
      <c r="F317" s="1"/>
      <c r="G317" s="33"/>
      <c r="H317" s="33"/>
    </row>
    <row r="318" spans="1:9" ht="18">
      <c r="A318" s="33"/>
      <c r="B318" s="33"/>
      <c r="C318" s="33"/>
      <c r="D318" s="33"/>
      <c r="E318" s="33"/>
      <c r="F318" s="1"/>
      <c r="G318" s="33"/>
      <c r="H318" s="33"/>
    </row>
    <row r="319" spans="1:9" ht="18">
      <c r="A319" s="33"/>
      <c r="B319" s="33"/>
      <c r="C319" s="33"/>
      <c r="D319" s="33"/>
      <c r="E319" s="33"/>
      <c r="F319" s="1"/>
      <c r="G319" s="33"/>
      <c r="H319" s="33"/>
    </row>
    <row r="320" spans="1:9" ht="18">
      <c r="A320" s="33"/>
      <c r="B320" s="33"/>
      <c r="C320" s="33"/>
      <c r="D320" s="33"/>
      <c r="E320" s="33"/>
      <c r="F320" s="1"/>
      <c r="G320" s="33"/>
      <c r="H320" s="33"/>
    </row>
    <row r="321" spans="1:8" ht="18">
      <c r="A321" s="33"/>
      <c r="B321" s="33"/>
      <c r="C321" s="33"/>
      <c r="D321" s="33"/>
      <c r="E321" s="33"/>
      <c r="F321" s="1"/>
      <c r="G321" s="33"/>
      <c r="H321" s="33"/>
    </row>
    <row r="322" spans="1:8" ht="18">
      <c r="A322" s="33"/>
      <c r="B322" s="33"/>
      <c r="C322" s="33"/>
      <c r="D322" s="33"/>
      <c r="E322" s="33"/>
      <c r="F322" s="1"/>
      <c r="G322" s="33"/>
      <c r="H322" s="33"/>
    </row>
    <row r="323" spans="1:8" ht="18">
      <c r="A323" s="33"/>
      <c r="B323" s="33"/>
      <c r="C323" s="33"/>
      <c r="D323" s="33"/>
      <c r="E323" s="33"/>
      <c r="F323" s="1"/>
      <c r="G323" s="33"/>
      <c r="H323" s="33"/>
    </row>
    <row r="324" spans="1:8" ht="18">
      <c r="A324" s="33"/>
      <c r="B324" s="33"/>
      <c r="C324" s="33"/>
      <c r="D324" s="33"/>
      <c r="E324" s="33"/>
      <c r="F324" s="1"/>
      <c r="G324" s="33"/>
      <c r="H324" s="33"/>
    </row>
    <row r="325" spans="1:8" ht="18">
      <c r="A325" s="33"/>
      <c r="B325" s="33"/>
      <c r="C325" s="33"/>
      <c r="D325" s="33"/>
      <c r="E325" s="33"/>
      <c r="F325" s="1"/>
      <c r="G325" s="33"/>
      <c r="H325" s="33"/>
    </row>
    <row r="326" spans="1:8" ht="18">
      <c r="A326" s="33"/>
      <c r="B326" s="33"/>
      <c r="C326" s="33"/>
      <c r="D326" s="33"/>
      <c r="E326" s="33"/>
      <c r="F326" s="1"/>
      <c r="G326" s="33"/>
      <c r="H326" s="33"/>
    </row>
    <row r="327" spans="1:8" ht="18">
      <c r="A327" s="33"/>
      <c r="B327" s="33"/>
      <c r="C327" s="33"/>
      <c r="D327" s="33"/>
      <c r="E327" s="33"/>
      <c r="F327" s="1"/>
      <c r="G327" s="33"/>
      <c r="H327" s="33"/>
    </row>
    <row r="328" spans="1:8" ht="18">
      <c r="A328" s="33"/>
      <c r="B328" s="33"/>
      <c r="C328" s="33"/>
      <c r="D328" s="33"/>
      <c r="E328" s="33"/>
      <c r="F328" s="1"/>
      <c r="G328" s="33"/>
      <c r="H328" s="33"/>
    </row>
    <row r="329" spans="1:8" ht="18">
      <c r="A329" s="33"/>
      <c r="B329" s="33"/>
      <c r="C329" s="33"/>
      <c r="D329" s="33"/>
      <c r="E329" s="33"/>
      <c r="F329" s="1"/>
      <c r="G329" s="33"/>
      <c r="H329" s="33"/>
    </row>
    <row r="330" spans="1:8" ht="18">
      <c r="A330" s="33"/>
      <c r="B330" s="33"/>
      <c r="C330" s="33"/>
      <c r="D330" s="33"/>
      <c r="E330" s="33"/>
      <c r="F330" s="1"/>
      <c r="G330" s="33"/>
      <c r="H330" s="33"/>
    </row>
    <row r="331" spans="1:8" ht="18">
      <c r="A331" s="33"/>
      <c r="B331" s="33"/>
      <c r="C331" s="33"/>
      <c r="D331" s="33"/>
      <c r="E331" s="33"/>
      <c r="F331" s="1"/>
      <c r="G331" s="33"/>
      <c r="H331" s="33"/>
    </row>
    <row r="332" spans="1:8" ht="18">
      <c r="A332" s="33"/>
      <c r="B332" s="33"/>
      <c r="C332" s="33"/>
      <c r="D332" s="33"/>
      <c r="E332" s="33"/>
      <c r="F332" s="1"/>
      <c r="G332" s="33"/>
      <c r="H332" s="33"/>
    </row>
    <row r="333" spans="1:8" ht="18">
      <c r="A333" s="33"/>
      <c r="B333" s="33"/>
      <c r="C333" s="33"/>
      <c r="D333" s="33"/>
      <c r="E333" s="33"/>
      <c r="F333" s="1"/>
      <c r="G333" s="33"/>
      <c r="H333" s="33"/>
    </row>
    <row r="334" spans="1:8" ht="18">
      <c r="A334" s="33"/>
      <c r="B334" s="33"/>
      <c r="C334" s="33"/>
      <c r="D334" s="33"/>
      <c r="E334" s="33"/>
      <c r="F334" s="1"/>
      <c r="G334" s="33"/>
      <c r="H334" s="33"/>
    </row>
    <row r="335" spans="1:8" ht="18">
      <c r="A335" s="33"/>
      <c r="B335" s="33"/>
      <c r="C335" s="33"/>
      <c r="D335" s="33"/>
      <c r="E335" s="33"/>
      <c r="F335" s="1"/>
      <c r="G335" s="33"/>
      <c r="H335" s="33"/>
    </row>
    <row r="336" spans="1:8" ht="18">
      <c r="A336" s="33"/>
      <c r="B336" s="33"/>
      <c r="C336" s="33"/>
      <c r="D336" s="33"/>
      <c r="E336" s="33"/>
      <c r="F336" s="1"/>
      <c r="G336" s="33"/>
      <c r="H336" s="33"/>
    </row>
    <row r="337" spans="1:10" ht="18">
      <c r="A337" s="33"/>
      <c r="B337" s="33"/>
      <c r="C337" s="33"/>
      <c r="D337" s="33"/>
      <c r="E337" s="33"/>
      <c r="F337" s="1"/>
      <c r="G337" s="33"/>
      <c r="H337" s="33"/>
    </row>
    <row r="345" spans="1:10" ht="15.6">
      <c r="A345" s="6" t="s">
        <v>0</v>
      </c>
      <c r="B345" s="6"/>
    </row>
    <row r="346" spans="1:10" s="113" customFormat="1" ht="16.8" customHeight="1">
      <c r="A346" s="277" t="s">
        <v>145</v>
      </c>
      <c r="B346" s="277"/>
      <c r="C346" s="277"/>
      <c r="D346" s="277"/>
      <c r="E346" s="277"/>
      <c r="F346" s="277"/>
      <c r="G346" s="277"/>
      <c r="H346" s="277"/>
      <c r="I346" s="182">
        <f>1996200/15</f>
        <v>133080</v>
      </c>
    </row>
    <row r="347" spans="1:10" s="113" customFormat="1" ht="16.8" customHeight="1">
      <c r="A347" s="112"/>
      <c r="B347" s="278" t="s">
        <v>157</v>
      </c>
      <c r="C347" s="278"/>
      <c r="D347" s="278"/>
      <c r="E347" s="278"/>
      <c r="F347" s="278"/>
      <c r="G347" s="278"/>
      <c r="H347" s="278"/>
    </row>
    <row r="348" spans="1:10" ht="15" customHeight="1">
      <c r="A348" s="7" t="s">
        <v>14</v>
      </c>
      <c r="B348" s="8" t="s">
        <v>15</v>
      </c>
      <c r="C348" s="9" t="s">
        <v>16</v>
      </c>
      <c r="D348" s="10" t="s">
        <v>17</v>
      </c>
      <c r="E348" s="7" t="s">
        <v>18</v>
      </c>
      <c r="F348" s="11" t="s">
        <v>4</v>
      </c>
      <c r="G348" s="7" t="s">
        <v>19</v>
      </c>
      <c r="H348" s="7" t="s">
        <v>20</v>
      </c>
      <c r="J348" s="14" t="e">
        <f>#REF!*#REF!</f>
        <v>#REF!</v>
      </c>
    </row>
    <row r="349" spans="1:10" s="120" customFormat="1" ht="15" customHeight="1">
      <c r="A349" s="286" t="s">
        <v>158</v>
      </c>
      <c r="B349" s="114" t="s">
        <v>10</v>
      </c>
      <c r="C349" s="115">
        <f>E349/D349</f>
        <v>0.11974248927038626</v>
      </c>
      <c r="D349" s="37">
        <v>233</v>
      </c>
      <c r="E349" s="185">
        <v>27.9</v>
      </c>
      <c r="F349" s="116" t="s">
        <v>1</v>
      </c>
      <c r="G349" s="117">
        <v>21525</v>
      </c>
      <c r="H349" s="118">
        <f>E349*G349</f>
        <v>600547.5</v>
      </c>
      <c r="I349" s="119"/>
      <c r="J349" s="123" t="e">
        <f>#REF!*#REF!</f>
        <v>#REF!</v>
      </c>
    </row>
    <row r="350" spans="1:10" s="120" customFormat="1" ht="15" customHeight="1">
      <c r="A350" s="287"/>
      <c r="B350" s="37" t="s">
        <v>37</v>
      </c>
      <c r="C350" s="37">
        <f>E350/D350</f>
        <v>5.9227467811158799E-2</v>
      </c>
      <c r="D350" s="37">
        <v>233</v>
      </c>
      <c r="E350" s="163">
        <v>13.8</v>
      </c>
      <c r="F350" s="37" t="s">
        <v>1</v>
      </c>
      <c r="G350" s="122">
        <v>169560</v>
      </c>
      <c r="H350" s="123">
        <f>E350*G350</f>
        <v>2339928</v>
      </c>
      <c r="I350" s="126">
        <f>233*17000</f>
        <v>3961000</v>
      </c>
      <c r="J350" s="123" t="e">
        <f>#REF!*#REF!</f>
        <v>#REF!</v>
      </c>
    </row>
    <row r="351" spans="1:10" s="120" customFormat="1" ht="15" customHeight="1">
      <c r="A351" s="288"/>
      <c r="B351" s="37" t="s">
        <v>38</v>
      </c>
      <c r="C351" s="37">
        <f t="shared" ref="C351:C353" si="61">E351/D351</f>
        <v>0.5622317596566524</v>
      </c>
      <c r="D351" s="37">
        <v>233</v>
      </c>
      <c r="E351" s="163">
        <v>131</v>
      </c>
      <c r="F351" s="37" t="s">
        <v>1</v>
      </c>
      <c r="G351" s="122">
        <v>3456</v>
      </c>
      <c r="H351" s="123">
        <f t="shared" ref="H351:H356" si="62">E351*G351</f>
        <v>452736</v>
      </c>
      <c r="I351" s="130">
        <f>I350-H358</f>
        <v>0.5</v>
      </c>
      <c r="J351" s="123" t="e">
        <f>#REF!*#REF!</f>
        <v>#REF!</v>
      </c>
    </row>
    <row r="352" spans="1:10" s="120" customFormat="1" ht="15" customHeight="1">
      <c r="A352" s="288"/>
      <c r="B352" s="37" t="s">
        <v>39</v>
      </c>
      <c r="C352" s="37">
        <f t="shared" si="61"/>
        <v>2.6180257510729613E-2</v>
      </c>
      <c r="D352" s="37">
        <v>233</v>
      </c>
      <c r="E352" s="163">
        <v>6.1</v>
      </c>
      <c r="F352" s="37" t="s">
        <v>1</v>
      </c>
      <c r="G352" s="122">
        <v>23100</v>
      </c>
      <c r="H352" s="123">
        <f t="shared" si="62"/>
        <v>140910</v>
      </c>
      <c r="J352" s="123">
        <f>184800+136500</f>
        <v>321300</v>
      </c>
    </row>
    <row r="353" spans="1:10" s="120" customFormat="1" ht="15" customHeight="1">
      <c r="A353" s="288"/>
      <c r="B353" s="37" t="s">
        <v>142</v>
      </c>
      <c r="C353" s="143">
        <f t="shared" si="61"/>
        <v>4.2918454935622317E-3</v>
      </c>
      <c r="D353" s="37">
        <v>233</v>
      </c>
      <c r="E353" s="163">
        <v>1</v>
      </c>
      <c r="F353" s="37" t="s">
        <v>3</v>
      </c>
      <c r="G353" s="122">
        <v>141750</v>
      </c>
      <c r="H353" s="123">
        <f t="shared" si="62"/>
        <v>141750</v>
      </c>
      <c r="I353" s="126">
        <f>229*17000</f>
        <v>3893000</v>
      </c>
      <c r="J353" s="123">
        <v>136716</v>
      </c>
    </row>
    <row r="354" spans="1:10" s="120" customFormat="1" ht="15" customHeight="1">
      <c r="A354" s="288"/>
      <c r="B354" s="37" t="s">
        <v>50</v>
      </c>
      <c r="C354" s="163"/>
      <c r="D354" s="37"/>
      <c r="E354" s="163">
        <v>0.1</v>
      </c>
      <c r="F354" s="37" t="s">
        <v>3</v>
      </c>
      <c r="G354" s="122">
        <v>36750</v>
      </c>
      <c r="H354" s="123">
        <f t="shared" si="62"/>
        <v>3675</v>
      </c>
      <c r="I354" s="130">
        <f>H358-I353</f>
        <v>67999.5</v>
      </c>
      <c r="J354" s="131"/>
    </row>
    <row r="355" spans="1:10" s="120" customFormat="1" ht="15" customHeight="1">
      <c r="A355" s="288"/>
      <c r="B355" s="162" t="s">
        <v>143</v>
      </c>
      <c r="C355" s="163"/>
      <c r="D355" s="167"/>
      <c r="E355" s="186">
        <v>7.7</v>
      </c>
      <c r="F355" s="37" t="s">
        <v>1</v>
      </c>
      <c r="G355" s="122">
        <v>18900</v>
      </c>
      <c r="H355" s="123">
        <f t="shared" si="62"/>
        <v>145530</v>
      </c>
      <c r="I355" s="130"/>
      <c r="J355" s="131"/>
    </row>
    <row r="356" spans="1:10" s="120" customFormat="1" ht="15" customHeight="1">
      <c r="A356" s="288"/>
      <c r="B356" s="37" t="s">
        <v>11</v>
      </c>
      <c r="C356" s="37"/>
      <c r="D356" s="37"/>
      <c r="E356" s="163">
        <v>0.1</v>
      </c>
      <c r="F356" s="37" t="s">
        <v>1</v>
      </c>
      <c r="G356" s="122">
        <v>57750</v>
      </c>
      <c r="H356" s="123">
        <f t="shared" si="62"/>
        <v>5775</v>
      </c>
      <c r="J356" s="131"/>
    </row>
    <row r="357" spans="1:10" s="120" customFormat="1" ht="15" customHeight="1">
      <c r="A357" s="288"/>
      <c r="B357" s="127" t="s">
        <v>24</v>
      </c>
      <c r="C357" s="127"/>
      <c r="D357" s="127"/>
      <c r="E357" s="242"/>
      <c r="F357" s="129"/>
      <c r="G357" s="127"/>
      <c r="H357" s="220">
        <f>130426-278</f>
        <v>130148</v>
      </c>
      <c r="J357" s="131"/>
    </row>
    <row r="358" spans="1:10" s="149" customFormat="1" ht="22.2" customHeight="1">
      <c r="A358" s="289"/>
      <c r="B358" s="231"/>
      <c r="C358" s="231"/>
      <c r="D358" s="231"/>
      <c r="E358" s="250"/>
      <c r="F358" s="232"/>
      <c r="G358" s="231"/>
      <c r="H358" s="233">
        <f>SUM(H349:H357)</f>
        <v>3960999.5</v>
      </c>
      <c r="I358" s="148">
        <f>H358-I350</f>
        <v>-0.5</v>
      </c>
    </row>
    <row r="359" spans="1:10" s="120" customFormat="1" ht="15" customHeight="1">
      <c r="A359" s="279" t="s">
        <v>159</v>
      </c>
      <c r="B359" s="116" t="s">
        <v>21</v>
      </c>
      <c r="C359" s="140">
        <f>E359/D359</f>
        <v>0.11982758620689656</v>
      </c>
      <c r="D359" s="158">
        <v>232</v>
      </c>
      <c r="E359" s="188" t="s">
        <v>100</v>
      </c>
      <c r="F359" s="160" t="s">
        <v>1</v>
      </c>
      <c r="G359" s="142">
        <v>21525</v>
      </c>
      <c r="H359" s="161">
        <f>E359*G359</f>
        <v>598395</v>
      </c>
      <c r="I359" s="183">
        <f>H358-I350</f>
        <v>-0.5</v>
      </c>
    </row>
    <row r="360" spans="1:10" s="120" customFormat="1" ht="15" customHeight="1">
      <c r="A360" s="280"/>
      <c r="B360" s="162" t="s">
        <v>47</v>
      </c>
      <c r="C360" s="143">
        <f>E360/D360</f>
        <v>5.3017241379310347E-2</v>
      </c>
      <c r="D360" s="164">
        <v>232</v>
      </c>
      <c r="E360" s="189" t="s">
        <v>154</v>
      </c>
      <c r="F360" s="37" t="s">
        <v>1</v>
      </c>
      <c r="G360" s="166">
        <v>178200</v>
      </c>
      <c r="H360" s="123">
        <f t="shared" ref="H360:H365" si="63">E360*G360</f>
        <v>2191860</v>
      </c>
      <c r="I360" s="125">
        <f>232*17000</f>
        <v>3944000</v>
      </c>
    </row>
    <row r="361" spans="1:10" s="120" customFormat="1" ht="15" customHeight="1">
      <c r="A361" s="280"/>
      <c r="B361" s="162" t="s">
        <v>48</v>
      </c>
      <c r="C361" s="143">
        <f t="shared" ref="C361:C363" si="64">E361/D361</f>
        <v>3.4482758620689655E-2</v>
      </c>
      <c r="D361" s="164">
        <v>232</v>
      </c>
      <c r="E361" s="189" t="s">
        <v>22</v>
      </c>
      <c r="F361" s="37" t="s">
        <v>1</v>
      </c>
      <c r="G361" s="166">
        <v>89250</v>
      </c>
      <c r="H361" s="123">
        <f t="shared" si="63"/>
        <v>714000</v>
      </c>
    </row>
    <row r="362" spans="1:10" s="120" customFormat="1" ht="15" customHeight="1">
      <c r="A362" s="280"/>
      <c r="B362" s="37" t="s">
        <v>142</v>
      </c>
      <c r="C362" s="143">
        <f t="shared" si="64"/>
        <v>4.3103448275862068E-3</v>
      </c>
      <c r="D362" s="164">
        <v>232</v>
      </c>
      <c r="E362" s="163">
        <v>1</v>
      </c>
      <c r="F362" s="37" t="s">
        <v>3</v>
      </c>
      <c r="G362" s="122">
        <v>137550</v>
      </c>
      <c r="H362" s="123">
        <f t="shared" si="63"/>
        <v>137550</v>
      </c>
      <c r="I362" s="135">
        <f>I360-H367</f>
        <v>0</v>
      </c>
    </row>
    <row r="363" spans="1:10" s="120" customFormat="1" ht="15" customHeight="1">
      <c r="A363" s="280"/>
      <c r="B363" s="37" t="s">
        <v>50</v>
      </c>
      <c r="C363" s="163">
        <f t="shared" si="64"/>
        <v>4.3103448275862074E-4</v>
      </c>
      <c r="D363" s="164">
        <v>232</v>
      </c>
      <c r="E363" s="163">
        <v>0.1</v>
      </c>
      <c r="F363" s="37" t="s">
        <v>3</v>
      </c>
      <c r="G363" s="122">
        <v>36750</v>
      </c>
      <c r="H363" s="123">
        <f t="shared" si="63"/>
        <v>3675</v>
      </c>
    </row>
    <row r="364" spans="1:10" s="120" customFormat="1" ht="15" customHeight="1">
      <c r="A364" s="280"/>
      <c r="B364" s="162" t="s">
        <v>140</v>
      </c>
      <c r="C364" s="163"/>
      <c r="D364" s="167"/>
      <c r="E364" s="186">
        <v>6.7</v>
      </c>
      <c r="F364" s="37" t="s">
        <v>1</v>
      </c>
      <c r="G364" s="122">
        <v>24150</v>
      </c>
      <c r="H364" s="123">
        <f t="shared" si="63"/>
        <v>161805</v>
      </c>
    </row>
    <row r="365" spans="1:10" s="120" customFormat="1" ht="15" customHeight="1">
      <c r="A365" s="280"/>
      <c r="B365" s="37" t="s">
        <v>61</v>
      </c>
      <c r="C365" s="147"/>
      <c r="D365" s="37"/>
      <c r="E365" s="239" t="s">
        <v>41</v>
      </c>
      <c r="F365" s="37" t="s">
        <v>1</v>
      </c>
      <c r="G365" s="122">
        <v>57750</v>
      </c>
      <c r="H365" s="123">
        <f t="shared" si="63"/>
        <v>5775</v>
      </c>
    </row>
    <row r="366" spans="1:10" s="120" customFormat="1" ht="15" customHeight="1">
      <c r="A366" s="281"/>
      <c r="B366" s="168" t="s">
        <v>24</v>
      </c>
      <c r="C366" s="147"/>
      <c r="D366" s="169"/>
      <c r="E366" s="170"/>
      <c r="F366" s="164" t="s">
        <v>1</v>
      </c>
      <c r="G366" s="122"/>
      <c r="H366" s="133">
        <f>130426+514</f>
        <v>130940</v>
      </c>
      <c r="I366" s="120">
        <v>130426</v>
      </c>
    </row>
    <row r="367" spans="1:10" s="149" customFormat="1" ht="18.600000000000001" customHeight="1">
      <c r="A367" s="150"/>
      <c r="B367" s="151"/>
      <c r="C367" s="152"/>
      <c r="D367" s="152"/>
      <c r="E367" s="243"/>
      <c r="F367" s="154"/>
      <c r="G367" s="151"/>
      <c r="H367" s="155">
        <f>SUM(H359:H366)</f>
        <v>3944000</v>
      </c>
      <c r="I367" s="184">
        <f>I360-H367</f>
        <v>0</v>
      </c>
    </row>
    <row r="368" spans="1:10" s="204" customFormat="1" ht="15" customHeight="1">
      <c r="A368" s="205"/>
      <c r="B368" s="12" t="s">
        <v>21</v>
      </c>
      <c r="C368" s="143">
        <f t="shared" ref="C368:C370" si="65">E368/D368</f>
        <v>1.2636363636363637</v>
      </c>
      <c r="D368" s="17">
        <v>22</v>
      </c>
      <c r="E368" s="224" t="s">
        <v>100</v>
      </c>
      <c r="F368" s="12" t="s">
        <v>1</v>
      </c>
      <c r="G368" s="13">
        <v>21525</v>
      </c>
      <c r="H368" s="14">
        <f>E368*G368</f>
        <v>598395</v>
      </c>
    </row>
    <row r="369" spans="1:9" s="204" customFormat="1" ht="15" customHeight="1">
      <c r="A369" s="290" t="s">
        <v>160</v>
      </c>
      <c r="B369" s="37" t="s">
        <v>80</v>
      </c>
      <c r="C369" s="143">
        <f t="shared" si="65"/>
        <v>7.2413793103448282E-2</v>
      </c>
      <c r="D369" s="37">
        <v>232</v>
      </c>
      <c r="E369" s="41">
        <v>16.8</v>
      </c>
      <c r="F369" s="37" t="s">
        <v>1</v>
      </c>
      <c r="G369" s="122">
        <v>140700</v>
      </c>
      <c r="H369" s="123">
        <f>E369*G369-1892</f>
        <v>2361868</v>
      </c>
    </row>
    <row r="370" spans="1:9" s="204" customFormat="1" ht="19.2" customHeight="1">
      <c r="A370" s="290"/>
      <c r="B370" s="37" t="s">
        <v>33</v>
      </c>
      <c r="C370" s="145">
        <f t="shared" si="65"/>
        <v>3.017241379310345E-2</v>
      </c>
      <c r="D370" s="37">
        <v>232</v>
      </c>
      <c r="E370" s="225" t="s">
        <v>122</v>
      </c>
      <c r="F370" s="37" t="s">
        <v>1</v>
      </c>
      <c r="G370" s="122">
        <v>67200</v>
      </c>
      <c r="H370" s="123">
        <f>E370*G370</f>
        <v>470400</v>
      </c>
      <c r="I370" s="207">
        <f>232*17000</f>
        <v>3944000</v>
      </c>
    </row>
    <row r="371" spans="1:9" s="204" customFormat="1" ht="15" customHeight="1">
      <c r="A371" s="290"/>
      <c r="B371" s="17" t="s">
        <v>39</v>
      </c>
      <c r="C371" s="17"/>
      <c r="D371" s="17">
        <v>232</v>
      </c>
      <c r="E371" s="193">
        <v>2.2000000000000002</v>
      </c>
      <c r="F371" s="17" t="s">
        <v>1</v>
      </c>
      <c r="G371" s="19">
        <v>21000</v>
      </c>
      <c r="H371" s="19">
        <f>E371*G371</f>
        <v>46200.000000000007</v>
      </c>
    </row>
    <row r="372" spans="1:9" s="204" customFormat="1" ht="15" customHeight="1">
      <c r="A372" s="290"/>
      <c r="B372" s="17" t="s">
        <v>40</v>
      </c>
      <c r="C372" s="17"/>
      <c r="D372" s="17">
        <v>232</v>
      </c>
      <c r="E372" s="193">
        <v>1</v>
      </c>
      <c r="F372" s="17" t="s">
        <v>1</v>
      </c>
      <c r="G372" s="19">
        <v>164850</v>
      </c>
      <c r="H372" s="19">
        <f t="shared" ref="H372:H376" si="66">E372*G372</f>
        <v>164850</v>
      </c>
    </row>
    <row r="373" spans="1:9" s="204" customFormat="1" ht="15" customHeight="1">
      <c r="A373" s="290"/>
      <c r="B373" s="196" t="s">
        <v>148</v>
      </c>
      <c r="C373" s="216"/>
      <c r="D373" s="196"/>
      <c r="E373" s="189" t="s">
        <v>150</v>
      </c>
      <c r="F373" s="196" t="s">
        <v>149</v>
      </c>
      <c r="G373" s="214">
        <v>37800</v>
      </c>
      <c r="H373" s="215">
        <f>E373*G373</f>
        <v>75600</v>
      </c>
    </row>
    <row r="374" spans="1:9" s="204" customFormat="1" ht="15" customHeight="1">
      <c r="A374" s="290"/>
      <c r="B374" s="17" t="s">
        <v>13</v>
      </c>
      <c r="C374" s="17"/>
      <c r="D374" s="17"/>
      <c r="E374" s="234">
        <v>4.0999999999999996</v>
      </c>
      <c r="F374" s="17" t="s">
        <v>1</v>
      </c>
      <c r="G374" s="18">
        <v>21000</v>
      </c>
      <c r="H374" s="19">
        <f t="shared" si="66"/>
        <v>86099.999999999985</v>
      </c>
    </row>
    <row r="375" spans="1:9" s="204" customFormat="1" ht="15" customHeight="1">
      <c r="A375" s="290"/>
      <c r="B375" s="17" t="s">
        <v>11</v>
      </c>
      <c r="C375" s="17"/>
      <c r="D375" s="17"/>
      <c r="E375" s="225" t="s">
        <v>41</v>
      </c>
      <c r="F375" s="17" t="s">
        <v>1</v>
      </c>
      <c r="G375" s="122">
        <v>57750</v>
      </c>
      <c r="H375" s="123">
        <f t="shared" si="66"/>
        <v>5775</v>
      </c>
      <c r="I375" s="208">
        <f>230*17000</f>
        <v>3910000</v>
      </c>
    </row>
    <row r="376" spans="1:9" s="204" customFormat="1" ht="15" customHeight="1">
      <c r="A376" s="290"/>
      <c r="B376" s="20" t="s">
        <v>36</v>
      </c>
      <c r="C376" s="35"/>
      <c r="D376" s="17"/>
      <c r="E376" s="226" t="s">
        <v>41</v>
      </c>
      <c r="F376" s="17" t="s">
        <v>1</v>
      </c>
      <c r="G376" s="122">
        <v>36750</v>
      </c>
      <c r="H376" s="123">
        <f t="shared" si="66"/>
        <v>3675</v>
      </c>
    </row>
    <row r="377" spans="1:9" s="204" customFormat="1" ht="15" customHeight="1">
      <c r="A377" s="206"/>
      <c r="B377" s="20" t="s">
        <v>24</v>
      </c>
      <c r="C377" s="20"/>
      <c r="D377" s="20"/>
      <c r="E377" s="245"/>
      <c r="F377" s="21"/>
      <c r="G377" s="20"/>
      <c r="H377" s="223">
        <f>130426+711</f>
        <v>131137</v>
      </c>
    </row>
    <row r="378" spans="1:9" s="134" customFormat="1" ht="20.399999999999999" customHeight="1">
      <c r="A378" s="199"/>
      <c r="B378" s="20"/>
      <c r="C378" s="20"/>
      <c r="D378" s="20"/>
      <c r="E378" s="245"/>
      <c r="F378" s="21"/>
      <c r="G378" s="20"/>
      <c r="H378" s="5">
        <f>SUM(H368:H377)</f>
        <v>3944000</v>
      </c>
      <c r="I378" s="198">
        <f>H378-I370</f>
        <v>0</v>
      </c>
    </row>
    <row r="379" spans="1:9" s="134" customFormat="1" ht="20.399999999999999" customHeight="1">
      <c r="A379" s="283" t="s">
        <v>161</v>
      </c>
      <c r="B379" s="114" t="s">
        <v>21</v>
      </c>
      <c r="C379" s="209">
        <f>E379/D379</f>
        <v>0.11982758620689656</v>
      </c>
      <c r="D379" s="196">
        <v>232</v>
      </c>
      <c r="E379" s="188" t="s">
        <v>100</v>
      </c>
      <c r="F379" s="210" t="s">
        <v>1</v>
      </c>
      <c r="G379" s="211">
        <v>21525</v>
      </c>
      <c r="H379" s="212">
        <f>E379*G379</f>
        <v>598395</v>
      </c>
      <c r="I379" s="198"/>
    </row>
    <row r="380" spans="1:9" s="134" customFormat="1" ht="20.399999999999999" customHeight="1">
      <c r="A380" s="284"/>
      <c r="B380" s="210" t="s">
        <v>146</v>
      </c>
      <c r="C380" s="213">
        <f t="shared" ref="C380:C382" si="67">E380/D380</f>
        <v>7.8879310344827591E-2</v>
      </c>
      <c r="D380" s="196">
        <v>232</v>
      </c>
      <c r="E380" s="188" t="s">
        <v>155</v>
      </c>
      <c r="F380" s="196" t="s">
        <v>1</v>
      </c>
      <c r="G380" s="211">
        <v>129150</v>
      </c>
      <c r="H380" s="215">
        <f>G380*E380</f>
        <v>2363445</v>
      </c>
      <c r="I380" s="198"/>
    </row>
    <row r="381" spans="1:9" s="134" customFormat="1" ht="20.399999999999999" customHeight="1">
      <c r="A381" s="284"/>
      <c r="B381" s="37" t="s">
        <v>142</v>
      </c>
      <c r="C381" s="143">
        <f t="shared" si="67"/>
        <v>4.3103448275862068E-3</v>
      </c>
      <c r="D381" s="164">
        <v>232</v>
      </c>
      <c r="E381" s="163">
        <v>1</v>
      </c>
      <c r="F381" s="37" t="s">
        <v>3</v>
      </c>
      <c r="G381" s="122">
        <v>137550</v>
      </c>
      <c r="H381" s="123">
        <f t="shared" ref="H381" si="68">E381*G381</f>
        <v>137550</v>
      </c>
      <c r="I381" s="198"/>
    </row>
    <row r="382" spans="1:9" s="134" customFormat="1" ht="20.399999999999999" customHeight="1">
      <c r="A382" s="284"/>
      <c r="B382" s="196" t="s">
        <v>6</v>
      </c>
      <c r="C382" s="216">
        <f t="shared" si="67"/>
        <v>0.56465517241379315</v>
      </c>
      <c r="D382" s="196">
        <v>232</v>
      </c>
      <c r="E382" s="189" t="s">
        <v>147</v>
      </c>
      <c r="F382" s="196" t="s">
        <v>1</v>
      </c>
      <c r="G382" s="214">
        <v>3510</v>
      </c>
      <c r="H382" s="215">
        <f>E382*G382</f>
        <v>459810</v>
      </c>
      <c r="I382" s="198">
        <f>232*17000</f>
        <v>3944000</v>
      </c>
    </row>
    <row r="383" spans="1:9" s="134" customFormat="1" ht="20.399999999999999" customHeight="1">
      <c r="A383" s="284"/>
      <c r="B383" s="196" t="s">
        <v>148</v>
      </c>
      <c r="C383" s="216"/>
      <c r="D383" s="196"/>
      <c r="E383" s="189" t="s">
        <v>150</v>
      </c>
      <c r="F383" s="196" t="s">
        <v>149</v>
      </c>
      <c r="G383" s="214">
        <v>37800</v>
      </c>
      <c r="H383" s="215">
        <f>E383*G383</f>
        <v>75600</v>
      </c>
      <c r="I383" s="198"/>
    </row>
    <row r="384" spans="1:9" s="134" customFormat="1" ht="20.399999999999999" customHeight="1">
      <c r="A384" s="284"/>
      <c r="B384" s="196" t="s">
        <v>151</v>
      </c>
      <c r="C384" s="216"/>
      <c r="D384" s="196"/>
      <c r="E384" s="189" t="s">
        <v>25</v>
      </c>
      <c r="F384" s="196" t="s">
        <v>3</v>
      </c>
      <c r="G384" s="214">
        <v>44280</v>
      </c>
      <c r="H384" s="215">
        <f>E384*G384</f>
        <v>44280</v>
      </c>
      <c r="I384" s="198"/>
    </row>
    <row r="385" spans="1:9" s="134" customFormat="1" ht="20.399999999999999" customHeight="1">
      <c r="A385" s="284"/>
      <c r="B385" s="196" t="s">
        <v>152</v>
      </c>
      <c r="C385" s="216"/>
      <c r="D385" s="196"/>
      <c r="E385" s="189" t="s">
        <v>163</v>
      </c>
      <c r="F385" s="196" t="s">
        <v>1</v>
      </c>
      <c r="G385" s="214">
        <v>24150</v>
      </c>
      <c r="H385" s="215">
        <f t="shared" ref="H385:H387" si="69">E385*G385</f>
        <v>125580</v>
      </c>
      <c r="I385" s="198">
        <f>H389-I382</f>
        <v>0</v>
      </c>
    </row>
    <row r="386" spans="1:9" s="134" customFormat="1" ht="20.399999999999999" customHeight="1">
      <c r="A386" s="284"/>
      <c r="B386" s="196" t="s">
        <v>36</v>
      </c>
      <c r="C386" s="213"/>
      <c r="D386" s="196"/>
      <c r="E386" s="189" t="s">
        <v>41</v>
      </c>
      <c r="F386" s="196" t="s">
        <v>3</v>
      </c>
      <c r="G386" s="122">
        <v>36750</v>
      </c>
      <c r="H386" s="123">
        <f t="shared" si="69"/>
        <v>3675</v>
      </c>
      <c r="I386" s="198"/>
    </row>
    <row r="387" spans="1:9" s="134" customFormat="1" ht="20.399999999999999" customHeight="1">
      <c r="A387" s="227"/>
      <c r="B387" s="196" t="s">
        <v>11</v>
      </c>
      <c r="C387" s="197"/>
      <c r="D387" s="196"/>
      <c r="E387" s="248">
        <v>0.1</v>
      </c>
      <c r="F387" s="196" t="s">
        <v>1</v>
      </c>
      <c r="G387" s="122">
        <v>57750</v>
      </c>
      <c r="H387" s="123">
        <f t="shared" si="69"/>
        <v>5775</v>
      </c>
      <c r="I387" s="198"/>
    </row>
    <row r="388" spans="1:9" s="134" customFormat="1" ht="20.399999999999999" customHeight="1">
      <c r="A388" s="227"/>
      <c r="B388" s="217" t="s">
        <v>24</v>
      </c>
      <c r="C388" s="217"/>
      <c r="D388" s="217"/>
      <c r="E388" s="246"/>
      <c r="F388" s="219"/>
      <c r="G388" s="217"/>
      <c r="H388" s="220">
        <f>130426-536</f>
        <v>129890</v>
      </c>
      <c r="I388" s="198"/>
    </row>
    <row r="389" spans="1:9" s="134" customFormat="1" ht="20.399999999999999" customHeight="1">
      <c r="A389" s="199"/>
      <c r="B389" s="228"/>
      <c r="C389" s="200"/>
      <c r="D389" s="228"/>
      <c r="E389" s="247"/>
      <c r="F389" s="228"/>
      <c r="G389" s="229"/>
      <c r="H389" s="230">
        <f>SUM(H379:H388)</f>
        <v>3944000</v>
      </c>
      <c r="I389" s="198">
        <f>I382-H389</f>
        <v>0</v>
      </c>
    </row>
    <row r="390" spans="1:9" s="134" customFormat="1" ht="15" customHeight="1">
      <c r="A390" s="276" t="s">
        <v>162</v>
      </c>
      <c r="B390" s="116" t="s">
        <v>21</v>
      </c>
      <c r="C390" s="140">
        <f>E390/D390</f>
        <v>0.11982758620689656</v>
      </c>
      <c r="D390" s="37">
        <v>232</v>
      </c>
      <c r="E390" s="187" t="s">
        <v>100</v>
      </c>
      <c r="F390" s="116" t="s">
        <v>1</v>
      </c>
      <c r="G390" s="142">
        <v>21525</v>
      </c>
      <c r="H390" s="118">
        <f>E390*G390</f>
        <v>598395</v>
      </c>
      <c r="I390" s="222"/>
    </row>
    <row r="391" spans="1:9" s="134" customFormat="1" ht="15" customHeight="1">
      <c r="A391" s="276"/>
      <c r="B391" s="37" t="s">
        <v>80</v>
      </c>
      <c r="C391" s="143">
        <f t="shared" ref="C391:C392" si="70">E391/D391</f>
        <v>7.1120689655172417E-2</v>
      </c>
      <c r="D391" s="37">
        <v>232</v>
      </c>
      <c r="E391" s="163">
        <v>16.5</v>
      </c>
      <c r="F391" s="37" t="s">
        <v>1</v>
      </c>
      <c r="G391" s="122">
        <v>140700</v>
      </c>
      <c r="H391" s="123">
        <f>E391*G391-1892</f>
        <v>2319658</v>
      </c>
    </row>
    <row r="392" spans="1:9" s="134" customFormat="1" ht="15" customHeight="1">
      <c r="A392" s="276"/>
      <c r="B392" s="37" t="s">
        <v>38</v>
      </c>
      <c r="C392" s="145">
        <f t="shared" si="70"/>
        <v>0.56465517241379315</v>
      </c>
      <c r="D392" s="37">
        <v>232</v>
      </c>
      <c r="E392" s="239" t="s">
        <v>147</v>
      </c>
      <c r="F392" s="37" t="s">
        <v>1</v>
      </c>
      <c r="G392" s="122">
        <v>3456</v>
      </c>
      <c r="H392" s="123">
        <f>E392*G392</f>
        <v>452736</v>
      </c>
    </row>
    <row r="393" spans="1:9" s="134" customFormat="1" ht="15" customHeight="1">
      <c r="A393" s="276"/>
      <c r="B393" s="37" t="s">
        <v>71</v>
      </c>
      <c r="C393" s="145"/>
      <c r="D393" s="37">
        <v>232</v>
      </c>
      <c r="E393" s="239" t="s">
        <v>43</v>
      </c>
      <c r="F393" s="37" t="s">
        <v>1</v>
      </c>
      <c r="G393" s="122">
        <v>78750</v>
      </c>
      <c r="H393" s="123">
        <f t="shared" ref="H393:H397" si="71">E393*G393</f>
        <v>236250</v>
      </c>
    </row>
    <row r="394" spans="1:9" s="134" customFormat="1" ht="15" customHeight="1">
      <c r="A394" s="221"/>
      <c r="B394" s="37" t="s">
        <v>72</v>
      </c>
      <c r="C394" s="145"/>
      <c r="D394" s="37">
        <v>232</v>
      </c>
      <c r="E394" s="239" t="s">
        <v>49</v>
      </c>
      <c r="F394" s="37" t="s">
        <v>3</v>
      </c>
      <c r="G394" s="122">
        <v>18900</v>
      </c>
      <c r="H394" s="123">
        <f t="shared" si="71"/>
        <v>190890</v>
      </c>
    </row>
    <row r="395" spans="1:9" s="134" customFormat="1" ht="15" customHeight="1">
      <c r="A395" s="221"/>
      <c r="B395" s="37" t="s">
        <v>74</v>
      </c>
      <c r="C395" s="37"/>
      <c r="D395" s="37">
        <v>232</v>
      </c>
      <c r="E395" s="239" t="s">
        <v>41</v>
      </c>
      <c r="F395" s="37" t="s">
        <v>1</v>
      </c>
      <c r="G395" s="122">
        <v>63000</v>
      </c>
      <c r="H395" s="123">
        <f t="shared" si="71"/>
        <v>6300</v>
      </c>
    </row>
    <row r="396" spans="1:9" s="134" customFormat="1" ht="15" customHeight="1">
      <c r="A396" s="221"/>
      <c r="B396" s="37" t="s">
        <v>61</v>
      </c>
      <c r="C396" s="147"/>
      <c r="D396" s="37">
        <v>232</v>
      </c>
      <c r="E396" s="239" t="s">
        <v>41</v>
      </c>
      <c r="F396" s="37" t="s">
        <v>1</v>
      </c>
      <c r="G396" s="122">
        <v>57750</v>
      </c>
      <c r="H396" s="123">
        <f t="shared" si="71"/>
        <v>5775</v>
      </c>
    </row>
    <row r="397" spans="1:9" s="134" customFormat="1" ht="15" customHeight="1">
      <c r="A397" s="221"/>
      <c r="B397" s="196" t="s">
        <v>36</v>
      </c>
      <c r="C397" s="213"/>
      <c r="D397" s="196"/>
      <c r="E397" s="189" t="s">
        <v>41</v>
      </c>
      <c r="F397" s="196" t="s">
        <v>3</v>
      </c>
      <c r="G397" s="122">
        <v>36750</v>
      </c>
      <c r="H397" s="123">
        <f t="shared" si="71"/>
        <v>3675</v>
      </c>
    </row>
    <row r="398" spans="1:9" s="134" customFormat="1" ht="15" customHeight="1">
      <c r="A398" s="221"/>
      <c r="B398" s="127" t="s">
        <v>24</v>
      </c>
      <c r="C398" s="127"/>
      <c r="D398" s="37">
        <v>232</v>
      </c>
      <c r="E398" s="242"/>
      <c r="F398" s="129"/>
      <c r="G398" s="127"/>
      <c r="H398" s="133">
        <f>130426-105</f>
        <v>130321</v>
      </c>
    </row>
    <row r="399" spans="1:9" s="156" customFormat="1" ht="19.8" customHeight="1">
      <c r="A399" s="201"/>
      <c r="B399" s="177"/>
      <c r="C399" s="177"/>
      <c r="D399" s="177"/>
      <c r="E399" s="190"/>
      <c r="F399" s="202"/>
      <c r="G399" s="177"/>
      <c r="H399" s="203">
        <f>SUM(H390:H398)</f>
        <v>3944000</v>
      </c>
      <c r="I399" s="184">
        <f>H399-I382</f>
        <v>0</v>
      </c>
    </row>
    <row r="400" spans="1:9">
      <c r="A400" s="110"/>
      <c r="B400" s="110"/>
      <c r="C400" s="110"/>
      <c r="D400" s="110"/>
      <c r="E400" s="249"/>
    </row>
    <row r="401" spans="1:8" ht="18">
      <c r="A401" s="277" t="s">
        <v>26</v>
      </c>
      <c r="B401" s="277"/>
      <c r="C401" s="277" t="s">
        <v>27</v>
      </c>
      <c r="D401" s="277"/>
      <c r="E401" s="277"/>
      <c r="F401" s="1"/>
      <c r="G401" s="277" t="s">
        <v>28</v>
      </c>
      <c r="H401" s="277"/>
    </row>
    <row r="402" spans="1:8" ht="18">
      <c r="A402" s="33"/>
      <c r="B402" s="33"/>
      <c r="C402" s="33"/>
      <c r="D402" s="33"/>
      <c r="E402" s="33"/>
      <c r="F402" s="1"/>
      <c r="G402" s="33"/>
      <c r="H402" s="33"/>
    </row>
    <row r="403" spans="1:8" ht="18">
      <c r="A403" s="33"/>
      <c r="B403" s="33"/>
      <c r="C403" s="33"/>
      <c r="D403" s="33"/>
      <c r="E403" s="33"/>
      <c r="F403" s="1"/>
      <c r="G403" s="33"/>
      <c r="H403" s="33"/>
    </row>
    <row r="404" spans="1:8" ht="18">
      <c r="A404" s="33"/>
      <c r="B404" s="33"/>
      <c r="C404" s="33"/>
      <c r="D404" s="33"/>
      <c r="E404" s="33"/>
      <c r="F404" s="1"/>
      <c r="G404" s="33"/>
      <c r="H404" s="33"/>
    </row>
    <row r="405" spans="1:8" ht="18">
      <c r="A405" s="33"/>
      <c r="B405" s="33"/>
      <c r="C405" s="33"/>
      <c r="D405" s="33"/>
      <c r="E405" s="33"/>
      <c r="F405" s="1"/>
      <c r="G405" s="33"/>
      <c r="H405" s="33"/>
    </row>
    <row r="406" spans="1:8" ht="18">
      <c r="A406" s="33"/>
      <c r="B406" s="33"/>
      <c r="C406" s="33"/>
      <c r="D406" s="33"/>
      <c r="E406" s="33"/>
      <c r="F406" s="1"/>
      <c r="G406" s="33"/>
      <c r="H406" s="33"/>
    </row>
    <row r="407" spans="1:8" ht="18">
      <c r="A407" s="33"/>
      <c r="B407" s="33"/>
      <c r="C407" s="33"/>
      <c r="D407" s="33"/>
      <c r="E407" s="33"/>
      <c r="F407" s="1"/>
      <c r="G407" s="33"/>
      <c r="H407" s="33"/>
    </row>
    <row r="408" spans="1:8" ht="18">
      <c r="A408" s="33"/>
      <c r="B408" s="33"/>
      <c r="C408" s="33"/>
      <c r="D408" s="33"/>
      <c r="E408" s="33"/>
      <c r="F408" s="1"/>
      <c r="G408" s="33"/>
      <c r="H408" s="33"/>
    </row>
    <row r="409" spans="1:8" ht="18">
      <c r="A409" s="33"/>
      <c r="B409" s="33"/>
      <c r="C409" s="33"/>
      <c r="D409" s="33"/>
      <c r="E409" s="33"/>
      <c r="F409" s="1"/>
      <c r="G409" s="33"/>
      <c r="H409" s="33"/>
    </row>
    <row r="410" spans="1:8" ht="18">
      <c r="A410" s="33"/>
      <c r="B410" s="33"/>
      <c r="C410" s="33"/>
      <c r="D410" s="33"/>
      <c r="E410" s="33"/>
      <c r="F410" s="1"/>
      <c r="G410" s="33"/>
      <c r="H410" s="33"/>
    </row>
    <row r="411" spans="1:8" ht="18">
      <c r="A411" s="33"/>
      <c r="B411" s="33"/>
      <c r="C411" s="33"/>
      <c r="D411" s="33"/>
      <c r="E411" s="33"/>
      <c r="F411" s="1"/>
      <c r="G411" s="33"/>
      <c r="H411" s="33"/>
    </row>
    <row r="412" spans="1:8" ht="18">
      <c r="A412" s="33"/>
      <c r="B412" s="33"/>
      <c r="C412" s="33"/>
      <c r="D412" s="33"/>
      <c r="E412" s="33"/>
      <c r="F412" s="1"/>
      <c r="G412" s="33"/>
      <c r="H412" s="33"/>
    </row>
    <row r="413" spans="1:8" ht="18">
      <c r="A413" s="33"/>
      <c r="B413" s="33"/>
      <c r="C413" s="33"/>
      <c r="D413" s="33"/>
      <c r="E413" s="33"/>
      <c r="F413" s="1"/>
      <c r="G413" s="33"/>
      <c r="H413" s="33"/>
    </row>
    <row r="414" spans="1:8" ht="18">
      <c r="A414" s="33"/>
      <c r="B414" s="33"/>
      <c r="C414" s="33"/>
      <c r="D414" s="33"/>
      <c r="E414" s="33"/>
      <c r="F414" s="1"/>
      <c r="G414" s="33"/>
      <c r="H414" s="33"/>
    </row>
    <row r="415" spans="1:8" ht="18">
      <c r="A415" s="33"/>
      <c r="B415" s="33"/>
      <c r="C415" s="33"/>
      <c r="D415" s="33"/>
      <c r="E415" s="33"/>
      <c r="F415" s="1"/>
      <c r="G415" s="33"/>
      <c r="H415" s="33"/>
    </row>
    <row r="416" spans="1:8" ht="18">
      <c r="A416" s="33"/>
      <c r="B416" s="33"/>
      <c r="C416" s="33"/>
      <c r="D416" s="33"/>
      <c r="E416" s="33"/>
      <c r="F416" s="1"/>
      <c r="G416" s="33"/>
      <c r="H416" s="33"/>
    </row>
    <row r="417" spans="1:8" ht="18">
      <c r="A417" s="33"/>
      <c r="B417" s="33"/>
      <c r="C417" s="33"/>
      <c r="D417" s="33"/>
      <c r="E417" s="33"/>
      <c r="F417" s="1"/>
      <c r="G417" s="33"/>
      <c r="H417" s="33"/>
    </row>
    <row r="418" spans="1:8" ht="18">
      <c r="A418" s="33"/>
      <c r="B418" s="33"/>
      <c r="C418" s="33"/>
      <c r="D418" s="33"/>
      <c r="E418" s="33"/>
      <c r="F418" s="1"/>
      <c r="G418" s="33"/>
      <c r="H418" s="33"/>
    </row>
    <row r="419" spans="1:8" ht="18">
      <c r="A419" s="33"/>
      <c r="B419" s="33"/>
      <c r="C419" s="33"/>
      <c r="D419" s="33"/>
      <c r="E419" s="33"/>
      <c r="F419" s="1"/>
      <c r="G419" s="33"/>
      <c r="H419" s="33"/>
    </row>
    <row r="420" spans="1:8" ht="18">
      <c r="A420" s="33"/>
      <c r="B420" s="33"/>
      <c r="C420" s="33"/>
      <c r="D420" s="33"/>
      <c r="E420" s="33"/>
      <c r="F420" s="1"/>
      <c r="G420" s="33"/>
      <c r="H420" s="33"/>
    </row>
    <row r="421" spans="1:8" ht="18">
      <c r="A421" s="33"/>
      <c r="B421" s="33"/>
      <c r="C421" s="33"/>
      <c r="D421" s="33"/>
      <c r="E421" s="33"/>
      <c r="F421" s="1"/>
      <c r="G421" s="33"/>
      <c r="H421" s="33"/>
    </row>
    <row r="422" spans="1:8" ht="18">
      <c r="A422" s="33"/>
      <c r="B422" s="33"/>
      <c r="C422" s="33"/>
      <c r="D422" s="33"/>
      <c r="E422" s="33"/>
      <c r="F422" s="1"/>
      <c r="G422" s="33"/>
      <c r="H422" s="33"/>
    </row>
    <row r="423" spans="1:8" ht="18">
      <c r="A423" s="33"/>
      <c r="B423" s="33"/>
      <c r="C423" s="33"/>
      <c r="D423" s="33"/>
      <c r="E423" s="33"/>
      <c r="F423" s="1"/>
      <c r="G423" s="33"/>
      <c r="H423" s="33"/>
    </row>
    <row r="424" spans="1:8" ht="18">
      <c r="A424" s="33"/>
      <c r="B424" s="33"/>
      <c r="C424" s="33"/>
      <c r="D424" s="33"/>
      <c r="E424" s="33"/>
      <c r="F424" s="1"/>
      <c r="G424" s="33"/>
      <c r="H424" s="33"/>
    </row>
    <row r="425" spans="1:8" ht="18">
      <c r="A425" s="33"/>
      <c r="B425" s="33"/>
      <c r="C425" s="33"/>
      <c r="D425" s="33"/>
      <c r="E425" s="33"/>
      <c r="F425" s="1"/>
      <c r="G425" s="33"/>
      <c r="H425" s="33"/>
    </row>
    <row r="426" spans="1:8" ht="18">
      <c r="A426" s="33"/>
      <c r="B426" s="33"/>
      <c r="C426" s="33"/>
      <c r="D426" s="33"/>
      <c r="E426" s="33"/>
      <c r="F426" s="1"/>
      <c r="G426" s="33"/>
      <c r="H426" s="33"/>
    </row>
    <row r="427" spans="1:8" ht="18">
      <c r="A427" s="33"/>
      <c r="B427" s="33"/>
      <c r="C427" s="33"/>
      <c r="D427" s="33"/>
      <c r="E427" s="33"/>
      <c r="F427" s="1"/>
      <c r="G427" s="33"/>
      <c r="H427" s="33"/>
    </row>
    <row r="428" spans="1:8" ht="18">
      <c r="A428" s="33"/>
      <c r="B428" s="33"/>
      <c r="C428" s="33"/>
      <c r="D428" s="33"/>
      <c r="E428" s="33"/>
      <c r="F428" s="1"/>
      <c r="G428" s="33"/>
      <c r="H428" s="33"/>
    </row>
  </sheetData>
  <mergeCells count="59">
    <mergeCell ref="A290:A297"/>
    <mergeCell ref="A300:A303"/>
    <mergeCell ref="A310:B310"/>
    <mergeCell ref="C310:E310"/>
    <mergeCell ref="G310:H310"/>
    <mergeCell ref="A256:H256"/>
    <mergeCell ref="B257:H257"/>
    <mergeCell ref="A259:A268"/>
    <mergeCell ref="A269:A277"/>
    <mergeCell ref="A280:A288"/>
    <mergeCell ref="A379:A386"/>
    <mergeCell ref="A390:A393"/>
    <mergeCell ref="A401:B401"/>
    <mergeCell ref="C401:E401"/>
    <mergeCell ref="G401:H401"/>
    <mergeCell ref="A346:H346"/>
    <mergeCell ref="B347:H347"/>
    <mergeCell ref="A349:A358"/>
    <mergeCell ref="A359:A366"/>
    <mergeCell ref="A369:A376"/>
    <mergeCell ref="A228:A231"/>
    <mergeCell ref="A239:B239"/>
    <mergeCell ref="C239:E239"/>
    <mergeCell ref="G239:H239"/>
    <mergeCell ref="A184:H184"/>
    <mergeCell ref="B185:H185"/>
    <mergeCell ref="A187:A197"/>
    <mergeCell ref="A198:A205"/>
    <mergeCell ref="A208:A216"/>
    <mergeCell ref="A124:H124"/>
    <mergeCell ref="B125:H125"/>
    <mergeCell ref="A126:A133"/>
    <mergeCell ref="A136:A144"/>
    <mergeCell ref="A218:A225"/>
    <mergeCell ref="A146:A153"/>
    <mergeCell ref="A156:A159"/>
    <mergeCell ref="A167:B167"/>
    <mergeCell ref="C167:E167"/>
    <mergeCell ref="G167:H167"/>
    <mergeCell ref="A98:A101"/>
    <mergeCell ref="A109:B109"/>
    <mergeCell ref="C109:E109"/>
    <mergeCell ref="G109:H109"/>
    <mergeCell ref="A66:H66"/>
    <mergeCell ref="B67:H67"/>
    <mergeCell ref="A68:A75"/>
    <mergeCell ref="A78:A86"/>
    <mergeCell ref="A88:A95"/>
    <mergeCell ref="A46:A49"/>
    <mergeCell ref="A58:B58"/>
    <mergeCell ref="C58:E58"/>
    <mergeCell ref="G58:H58"/>
    <mergeCell ref="A2:H2"/>
    <mergeCell ref="B3:H3"/>
    <mergeCell ref="A4:A11"/>
    <mergeCell ref="A14:A22"/>
    <mergeCell ref="A38:A41"/>
    <mergeCell ref="A35:A37"/>
    <mergeCell ref="A24:A32"/>
  </mergeCells>
  <phoneticPr fontId="14" type="noConversion"/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17DE-8577-4D0A-9C26-5974613C7D74}">
  <dimension ref="A1:H774"/>
  <sheetViews>
    <sheetView tabSelected="1" topLeftCell="A337" zoomScaleNormal="100" workbookViewId="0">
      <selection activeCell="K333" sqref="K333"/>
    </sheetView>
  </sheetViews>
  <sheetFormatPr defaultRowHeight="13.8"/>
  <cols>
    <col min="1" max="1" width="5.796875" customWidth="1"/>
    <col min="2" max="2" width="21.296875" customWidth="1"/>
    <col min="3" max="3" width="8.8984375" style="34" customWidth="1"/>
    <col min="4" max="4" width="8.09765625" customWidth="1"/>
    <col min="5" max="5" width="7.8984375" style="60" customWidth="1"/>
    <col min="6" max="6" width="6.3984375" customWidth="1"/>
    <col min="7" max="7" width="10.09765625" customWidth="1"/>
    <col min="8" max="8" width="13.296875" customWidth="1"/>
  </cols>
  <sheetData>
    <row r="1" spans="1:8" ht="15.6">
      <c r="A1" s="6" t="s">
        <v>0</v>
      </c>
      <c r="B1" s="6"/>
    </row>
    <row r="2" spans="1:8" s="113" customFormat="1" ht="16.8" customHeight="1">
      <c r="A2" s="294" t="s">
        <v>51</v>
      </c>
      <c r="B2" s="294"/>
      <c r="C2" s="294"/>
      <c r="D2" s="294"/>
      <c r="E2" s="294"/>
      <c r="F2" s="294"/>
      <c r="G2" s="294"/>
      <c r="H2" s="294"/>
    </row>
    <row r="3" spans="1:8" s="113" customFormat="1" ht="16.8" customHeight="1">
      <c r="A3" s="112"/>
      <c r="B3" s="278" t="s">
        <v>139</v>
      </c>
      <c r="C3" s="278"/>
      <c r="D3" s="278"/>
      <c r="E3" s="278"/>
      <c r="F3" s="278"/>
      <c r="G3" s="278"/>
      <c r="H3" s="278"/>
    </row>
    <row r="4" spans="1:8" ht="15" customHeight="1">
      <c r="A4" s="7" t="s">
        <v>14</v>
      </c>
      <c r="B4" s="8" t="s">
        <v>15</v>
      </c>
      <c r="C4" s="9" t="s">
        <v>16</v>
      </c>
      <c r="D4" s="10" t="s">
        <v>17</v>
      </c>
      <c r="E4" s="42" t="s">
        <v>18</v>
      </c>
      <c r="F4" s="11" t="s">
        <v>4</v>
      </c>
      <c r="G4" s="7" t="s">
        <v>19</v>
      </c>
      <c r="H4" s="7" t="s">
        <v>20</v>
      </c>
    </row>
    <row r="5" spans="1:8" s="120" customFormat="1" ht="15" customHeight="1">
      <c r="A5" s="286" t="s">
        <v>130</v>
      </c>
      <c r="B5" s="114" t="s">
        <v>10</v>
      </c>
      <c r="C5" s="115">
        <f>E5/D5</f>
        <v>0.11931330472103005</v>
      </c>
      <c r="D5" s="37">
        <v>233</v>
      </c>
      <c r="E5" s="114">
        <v>27.8</v>
      </c>
      <c r="F5" s="116" t="s">
        <v>1</v>
      </c>
      <c r="G5" s="117">
        <v>21525</v>
      </c>
      <c r="H5" s="118">
        <f>E5*G5</f>
        <v>598395</v>
      </c>
    </row>
    <row r="6" spans="1:8" s="120" customFormat="1" ht="15" customHeight="1">
      <c r="A6" s="287"/>
      <c r="B6" s="37" t="s">
        <v>37</v>
      </c>
      <c r="C6" s="37">
        <f>E6/D6</f>
        <v>6.1373390557939916E-2</v>
      </c>
      <c r="D6" s="37">
        <v>233</v>
      </c>
      <c r="E6" s="37">
        <v>14.3</v>
      </c>
      <c r="F6" s="37" t="s">
        <v>1</v>
      </c>
      <c r="G6" s="122">
        <v>162000</v>
      </c>
      <c r="H6" s="123">
        <f>E6*G6</f>
        <v>2316600</v>
      </c>
    </row>
    <row r="7" spans="1:8" s="120" customFormat="1" ht="15" customHeight="1">
      <c r="A7" s="288"/>
      <c r="B7" s="37" t="s">
        <v>38</v>
      </c>
      <c r="C7" s="37">
        <f t="shared" ref="C7:C9" si="0">E7/D7</f>
        <v>0.55793991416309008</v>
      </c>
      <c r="D7" s="37">
        <v>233</v>
      </c>
      <c r="E7" s="37">
        <v>130</v>
      </c>
      <c r="F7" s="37" t="s">
        <v>1</v>
      </c>
      <c r="G7" s="122">
        <v>3456</v>
      </c>
      <c r="H7" s="123">
        <f t="shared" ref="H7:H12" si="1">E7*G7</f>
        <v>449280</v>
      </c>
    </row>
    <row r="8" spans="1:8" s="120" customFormat="1" ht="15" customHeight="1">
      <c r="A8" s="288"/>
      <c r="B8" s="37" t="s">
        <v>39</v>
      </c>
      <c r="C8" s="37">
        <f t="shared" si="0"/>
        <v>2.1459227467811159E-2</v>
      </c>
      <c r="D8" s="37">
        <v>233</v>
      </c>
      <c r="E8" s="37">
        <v>5</v>
      </c>
      <c r="F8" s="37" t="s">
        <v>1</v>
      </c>
      <c r="G8" s="122">
        <v>31500</v>
      </c>
      <c r="H8" s="123">
        <f t="shared" si="1"/>
        <v>157500</v>
      </c>
    </row>
    <row r="9" spans="1:8" s="120" customFormat="1" ht="15" customHeight="1">
      <c r="A9" s="288"/>
      <c r="B9" s="37" t="s">
        <v>12</v>
      </c>
      <c r="C9" s="37">
        <f t="shared" si="0"/>
        <v>4.2918454935622317E-3</v>
      </c>
      <c r="D9" s="37">
        <v>233</v>
      </c>
      <c r="E9" s="37">
        <v>1</v>
      </c>
      <c r="F9" s="37" t="s">
        <v>1</v>
      </c>
      <c r="G9" s="122">
        <v>173250</v>
      </c>
      <c r="H9" s="123">
        <f t="shared" si="1"/>
        <v>173250</v>
      </c>
    </row>
    <row r="10" spans="1:8" s="120" customFormat="1" ht="15" customHeight="1">
      <c r="A10" s="288"/>
      <c r="B10" s="37" t="s">
        <v>110</v>
      </c>
      <c r="C10" s="37"/>
      <c r="D10" s="37">
        <v>233</v>
      </c>
      <c r="E10" s="37">
        <v>6.4</v>
      </c>
      <c r="F10" s="37" t="s">
        <v>1</v>
      </c>
      <c r="G10" s="122">
        <v>18900</v>
      </c>
      <c r="H10" s="123">
        <f t="shared" si="1"/>
        <v>120960</v>
      </c>
    </row>
    <row r="11" spans="1:8" s="120" customFormat="1" ht="15" customHeight="1">
      <c r="A11" s="288"/>
      <c r="B11" s="37" t="s">
        <v>11</v>
      </c>
      <c r="C11" s="37"/>
      <c r="D11" s="37">
        <v>233</v>
      </c>
      <c r="E11" s="37">
        <v>0.1</v>
      </c>
      <c r="F11" s="37" t="s">
        <v>1</v>
      </c>
      <c r="G11" s="122">
        <v>60900</v>
      </c>
      <c r="H11" s="123">
        <f t="shared" si="1"/>
        <v>6090</v>
      </c>
    </row>
    <row r="12" spans="1:8" s="120" customFormat="1" ht="15" customHeight="1">
      <c r="A12" s="288"/>
      <c r="B12" s="37" t="s">
        <v>36</v>
      </c>
      <c r="C12" s="37"/>
      <c r="D12" s="37">
        <v>233</v>
      </c>
      <c r="E12" s="132">
        <v>0.1</v>
      </c>
      <c r="F12" s="37" t="s">
        <v>1</v>
      </c>
      <c r="G12" s="122">
        <v>42000</v>
      </c>
      <c r="H12" s="123">
        <f t="shared" si="1"/>
        <v>4200</v>
      </c>
    </row>
    <row r="13" spans="1:8" s="120" customFormat="1" ht="15" customHeight="1">
      <c r="A13" s="288"/>
      <c r="B13" s="127" t="s">
        <v>24</v>
      </c>
      <c r="C13" s="127"/>
      <c r="D13" s="127"/>
      <c r="E13" s="128"/>
      <c r="F13" s="129"/>
      <c r="G13" s="127"/>
      <c r="H13" s="133">
        <f>136716-1991</f>
        <v>134725</v>
      </c>
    </row>
    <row r="14" spans="1:8" s="120" customFormat="1" ht="22.2" customHeight="1">
      <c r="A14" s="289"/>
      <c r="B14" s="291"/>
      <c r="C14" s="292"/>
      <c r="D14" s="292"/>
      <c r="E14" s="292"/>
      <c r="F14" s="292"/>
      <c r="G14" s="293"/>
      <c r="H14" s="139">
        <f>SUM(H5:H13)</f>
        <v>3961000</v>
      </c>
    </row>
    <row r="15" spans="1:8" s="120" customFormat="1" ht="15" customHeight="1">
      <c r="A15" s="279" t="s">
        <v>131</v>
      </c>
      <c r="B15" s="116" t="s">
        <v>21</v>
      </c>
      <c r="C15" s="140">
        <f>E15/D15</f>
        <v>0.11931330472103005</v>
      </c>
      <c r="D15" s="37">
        <v>233</v>
      </c>
      <c r="E15" s="141" t="s">
        <v>100</v>
      </c>
      <c r="F15" s="116" t="s">
        <v>1</v>
      </c>
      <c r="G15" s="142">
        <v>21525</v>
      </c>
      <c r="H15" s="118">
        <f>E15*G15</f>
        <v>598395</v>
      </c>
    </row>
    <row r="16" spans="1:8" s="120" customFormat="1" ht="15" customHeight="1">
      <c r="A16" s="280"/>
      <c r="B16" s="37" t="s">
        <v>80</v>
      </c>
      <c r="C16" s="143">
        <f t="shared" ref="C16:C17" si="2">E16/D16</f>
        <v>7.5536480686695287E-2</v>
      </c>
      <c r="D16" s="37">
        <v>233</v>
      </c>
      <c r="E16" s="144">
        <v>17.600000000000001</v>
      </c>
      <c r="F16" s="37" t="s">
        <v>1</v>
      </c>
      <c r="G16" s="122">
        <v>125580</v>
      </c>
      <c r="H16" s="123">
        <f>E16*G16-1892</f>
        <v>2208316</v>
      </c>
    </row>
    <row r="17" spans="1:8" s="120" customFormat="1" ht="15" customHeight="1">
      <c r="A17" s="280"/>
      <c r="B17" s="37" t="s">
        <v>33</v>
      </c>
      <c r="C17" s="145">
        <f t="shared" si="2"/>
        <v>3.1759656652360517E-2</v>
      </c>
      <c r="D17" s="37">
        <v>233</v>
      </c>
      <c r="E17" s="121" t="s">
        <v>129</v>
      </c>
      <c r="F17" s="37" t="s">
        <v>1</v>
      </c>
      <c r="G17" s="122">
        <v>67200</v>
      </c>
      <c r="H17" s="123">
        <f>E17*G17</f>
        <v>497280</v>
      </c>
    </row>
    <row r="18" spans="1:8" s="120" customFormat="1" ht="15" customHeight="1">
      <c r="A18" s="280"/>
      <c r="B18" s="37" t="s">
        <v>71</v>
      </c>
      <c r="C18" s="145"/>
      <c r="D18" s="37"/>
      <c r="E18" s="121" t="s">
        <v>43</v>
      </c>
      <c r="F18" s="37" t="s">
        <v>1</v>
      </c>
      <c r="G18" s="122">
        <v>78750</v>
      </c>
      <c r="H18" s="123">
        <f t="shared" ref="H18:H22" si="3">E18*G18</f>
        <v>236250</v>
      </c>
    </row>
    <row r="19" spans="1:8" s="120" customFormat="1" ht="15" customHeight="1">
      <c r="A19" s="280"/>
      <c r="B19" s="37" t="s">
        <v>72</v>
      </c>
      <c r="C19" s="145"/>
      <c r="D19" s="37"/>
      <c r="E19" s="121" t="s">
        <v>73</v>
      </c>
      <c r="F19" s="37" t="s">
        <v>3</v>
      </c>
      <c r="G19" s="122">
        <v>20478</v>
      </c>
      <c r="H19" s="123">
        <f t="shared" si="3"/>
        <v>266214</v>
      </c>
    </row>
    <row r="20" spans="1:8" s="120" customFormat="1" ht="15" customHeight="1">
      <c r="A20" s="281"/>
      <c r="B20" s="37" t="s">
        <v>74</v>
      </c>
      <c r="C20" s="37"/>
      <c r="D20" s="37"/>
      <c r="E20" s="121" t="s">
        <v>41</v>
      </c>
      <c r="F20" s="37" t="s">
        <v>1</v>
      </c>
      <c r="G20" s="122">
        <v>68040</v>
      </c>
      <c r="H20" s="123">
        <f t="shared" si="3"/>
        <v>6804</v>
      </c>
    </row>
    <row r="21" spans="1:8" s="120" customFormat="1" ht="15" customHeight="1">
      <c r="A21" s="281"/>
      <c r="B21" s="37" t="s">
        <v>61</v>
      </c>
      <c r="C21" s="147"/>
      <c r="D21" s="37"/>
      <c r="E21" s="121" t="s">
        <v>41</v>
      </c>
      <c r="F21" s="37" t="s">
        <v>1</v>
      </c>
      <c r="G21" s="122">
        <v>60900</v>
      </c>
      <c r="H21" s="123">
        <f t="shared" si="3"/>
        <v>6090</v>
      </c>
    </row>
    <row r="22" spans="1:8" s="149" customFormat="1" ht="15" customHeight="1">
      <c r="A22" s="281"/>
      <c r="B22" s="37" t="s">
        <v>75</v>
      </c>
      <c r="C22" s="127"/>
      <c r="D22" s="127"/>
      <c r="E22" s="121" t="s">
        <v>41</v>
      </c>
      <c r="F22" s="37" t="s">
        <v>1</v>
      </c>
      <c r="G22" s="122">
        <v>49349</v>
      </c>
      <c r="H22" s="123">
        <f t="shared" si="3"/>
        <v>4934.9000000000005</v>
      </c>
    </row>
    <row r="23" spans="1:8" s="120" customFormat="1" ht="15" customHeight="1">
      <c r="A23" s="146"/>
      <c r="B23" s="127" t="s">
        <v>24</v>
      </c>
      <c r="C23" s="127"/>
      <c r="D23" s="127"/>
      <c r="E23" s="128"/>
      <c r="F23" s="129"/>
      <c r="G23" s="127"/>
      <c r="H23" s="133">
        <v>136716</v>
      </c>
    </row>
    <row r="24" spans="1:8" s="149" customFormat="1" ht="18.600000000000001" customHeight="1">
      <c r="A24" s="150"/>
      <c r="B24" s="151"/>
      <c r="C24" s="152"/>
      <c r="D24" s="152"/>
      <c r="E24" s="153"/>
      <c r="F24" s="154"/>
      <c r="G24" s="151"/>
      <c r="H24" s="155">
        <f>SUM(H15:H23)</f>
        <v>3960999.9</v>
      </c>
    </row>
    <row r="25" spans="1:8" s="120" customFormat="1" ht="15" customHeight="1">
      <c r="A25" s="124"/>
      <c r="B25" s="116" t="s">
        <v>21</v>
      </c>
      <c r="C25" s="157"/>
      <c r="D25" s="158">
        <v>231</v>
      </c>
      <c r="E25" s="159" t="s">
        <v>133</v>
      </c>
      <c r="F25" s="160" t="s">
        <v>1</v>
      </c>
      <c r="G25" s="142">
        <v>21525</v>
      </c>
      <c r="H25" s="161">
        <f>E25*G25</f>
        <v>594090</v>
      </c>
    </row>
    <row r="26" spans="1:8" s="120" customFormat="1" ht="15" customHeight="1">
      <c r="A26" s="280" t="s">
        <v>137</v>
      </c>
      <c r="B26" s="162" t="s">
        <v>134</v>
      </c>
      <c r="C26" s="163"/>
      <c r="D26" s="164">
        <v>231</v>
      </c>
      <c r="E26" s="165" t="s">
        <v>136</v>
      </c>
      <c r="F26" s="37" t="s">
        <v>1</v>
      </c>
      <c r="G26" s="166">
        <v>162000</v>
      </c>
      <c r="H26" s="123">
        <f t="shared" ref="H26:H29" si="4">E26*G26</f>
        <v>2235600</v>
      </c>
    </row>
    <row r="27" spans="1:8" s="120" customFormat="1" ht="15" customHeight="1">
      <c r="A27" s="280"/>
      <c r="B27" s="162" t="s">
        <v>48</v>
      </c>
      <c r="C27" s="163"/>
      <c r="D27" s="164">
        <v>231</v>
      </c>
      <c r="E27" s="165" t="s">
        <v>135</v>
      </c>
      <c r="F27" s="37" t="s">
        <v>1</v>
      </c>
      <c r="G27" s="166">
        <v>89250</v>
      </c>
      <c r="H27" s="123">
        <f t="shared" si="4"/>
        <v>803250</v>
      </c>
    </row>
    <row r="28" spans="1:8" s="120" customFormat="1" ht="15" customHeight="1">
      <c r="A28" s="280"/>
      <c r="B28" s="37" t="s">
        <v>50</v>
      </c>
      <c r="C28" s="163"/>
      <c r="D28" s="167"/>
      <c r="E28" s="37">
        <v>0.1</v>
      </c>
      <c r="F28" s="37" t="s">
        <v>3</v>
      </c>
      <c r="G28" s="122">
        <v>49350</v>
      </c>
      <c r="H28" s="123">
        <f t="shared" si="4"/>
        <v>4935</v>
      </c>
    </row>
    <row r="29" spans="1:8" s="120" customFormat="1" ht="15" customHeight="1">
      <c r="A29" s="280"/>
      <c r="B29" s="162" t="s">
        <v>35</v>
      </c>
      <c r="C29" s="163"/>
      <c r="D29" s="167"/>
      <c r="E29" s="132">
        <v>7.3</v>
      </c>
      <c r="F29" s="37" t="s">
        <v>1</v>
      </c>
      <c r="G29" s="122">
        <v>21000</v>
      </c>
      <c r="H29" s="123">
        <f t="shared" si="4"/>
        <v>153300</v>
      </c>
    </row>
    <row r="30" spans="1:8" s="120" customFormat="1" ht="15" customHeight="1">
      <c r="A30" s="281"/>
      <c r="B30" s="168" t="s">
        <v>24</v>
      </c>
      <c r="C30" s="147"/>
      <c r="D30" s="169"/>
      <c r="E30" s="170"/>
      <c r="F30" s="164" t="s">
        <v>1</v>
      </c>
      <c r="G30" s="122"/>
      <c r="H30" s="123">
        <v>136716</v>
      </c>
    </row>
    <row r="31" spans="1:8" s="120" customFormat="1" ht="20.399999999999999" customHeight="1">
      <c r="A31" s="171"/>
      <c r="B31" s="136"/>
      <c r="C31" s="137"/>
      <c r="D31" s="137"/>
      <c r="E31" s="137"/>
      <c r="F31" s="137"/>
      <c r="G31" s="138"/>
      <c r="H31" s="139">
        <f>SUM(H25:H30)</f>
        <v>3927891</v>
      </c>
    </row>
    <row r="32" spans="1:8" s="120" customFormat="1" ht="15" customHeight="1">
      <c r="A32" s="280" t="s">
        <v>132</v>
      </c>
      <c r="B32" s="116" t="s">
        <v>21</v>
      </c>
      <c r="C32" s="172">
        <f>E32/D32</f>
        <v>0.11948051948051949</v>
      </c>
      <c r="D32" s="162">
        <v>231</v>
      </c>
      <c r="E32" s="173" t="s">
        <v>133</v>
      </c>
      <c r="F32" s="162" t="s">
        <v>1</v>
      </c>
      <c r="G32" s="166">
        <v>21525</v>
      </c>
      <c r="H32" s="174">
        <f>E32*G32</f>
        <v>594090</v>
      </c>
    </row>
    <row r="33" spans="1:8" s="120" customFormat="1" ht="15" customHeight="1">
      <c r="A33" s="280"/>
      <c r="B33" s="37" t="s">
        <v>5</v>
      </c>
      <c r="C33" s="143">
        <f t="shared" ref="C33:C34" si="5">E33/D33</f>
        <v>6.9264069264069264E-2</v>
      </c>
      <c r="D33" s="37">
        <v>231</v>
      </c>
      <c r="E33" s="144">
        <v>16</v>
      </c>
      <c r="F33" s="37" t="s">
        <v>1</v>
      </c>
      <c r="G33" s="122">
        <v>137550</v>
      </c>
      <c r="H33" s="123">
        <f>E33*G33-1892</f>
        <v>2198908</v>
      </c>
    </row>
    <row r="34" spans="1:8" s="120" customFormat="1" ht="15" customHeight="1">
      <c r="A34" s="280"/>
      <c r="B34" s="37" t="s">
        <v>31</v>
      </c>
      <c r="C34" s="145">
        <f t="shared" si="5"/>
        <v>3.0303030303030303E-3</v>
      </c>
      <c r="D34" s="37">
        <v>231</v>
      </c>
      <c r="E34" s="121" t="s">
        <v>32</v>
      </c>
      <c r="F34" s="37" t="s">
        <v>1</v>
      </c>
      <c r="G34" s="122">
        <v>304500</v>
      </c>
      <c r="H34" s="123">
        <f>E34*G34</f>
        <v>213150</v>
      </c>
    </row>
    <row r="35" spans="1:8" s="120" customFormat="1" ht="15" customHeight="1">
      <c r="A35" s="280"/>
      <c r="B35" s="37" t="s">
        <v>33</v>
      </c>
      <c r="C35" s="145"/>
      <c r="D35" s="37">
        <v>231</v>
      </c>
      <c r="E35" s="121" t="s">
        <v>135</v>
      </c>
      <c r="F35" s="37" t="s">
        <v>1</v>
      </c>
      <c r="G35" s="122">
        <v>67200</v>
      </c>
      <c r="H35" s="123">
        <f>E35*G35</f>
        <v>604800</v>
      </c>
    </row>
    <row r="36" spans="1:8" s="120" customFormat="1" ht="15" customHeight="1">
      <c r="A36" s="280"/>
      <c r="B36" s="37" t="s">
        <v>86</v>
      </c>
      <c r="C36" s="145"/>
      <c r="D36" s="37"/>
      <c r="E36" s="121" t="s">
        <v>138</v>
      </c>
      <c r="F36" s="37" t="s">
        <v>1</v>
      </c>
      <c r="G36" s="122">
        <v>22050</v>
      </c>
      <c r="H36" s="123">
        <f t="shared" ref="H36:H37" si="6">E36*G36</f>
        <v>174195</v>
      </c>
    </row>
    <row r="37" spans="1:8" s="120" customFormat="1" ht="15" customHeight="1">
      <c r="A37" s="280"/>
      <c r="B37" s="175" t="s">
        <v>36</v>
      </c>
      <c r="C37" s="145"/>
      <c r="D37" s="37">
        <v>231</v>
      </c>
      <c r="E37" s="121" t="s">
        <v>41</v>
      </c>
      <c r="F37" s="37" t="s">
        <v>3</v>
      </c>
      <c r="G37" s="122">
        <v>42000</v>
      </c>
      <c r="H37" s="123">
        <f t="shared" si="6"/>
        <v>4200</v>
      </c>
    </row>
    <row r="38" spans="1:8" s="120" customFormat="1" ht="15" customHeight="1">
      <c r="A38" s="146"/>
      <c r="B38" s="127" t="s">
        <v>24</v>
      </c>
      <c r="C38" s="127"/>
      <c r="D38" s="127"/>
      <c r="E38" s="128"/>
      <c r="F38" s="129"/>
      <c r="G38" s="127"/>
      <c r="H38" s="133">
        <v>136716</v>
      </c>
    </row>
    <row r="39" spans="1:8" s="149" customFormat="1" ht="19.8" customHeight="1">
      <c r="A39" s="176"/>
      <c r="B39" s="177"/>
      <c r="C39" s="178"/>
      <c r="D39" s="178"/>
      <c r="E39" s="179"/>
      <c r="F39" s="180"/>
      <c r="G39" s="178"/>
      <c r="H39" s="181">
        <f>SUM(H32:H38)</f>
        <v>3926059</v>
      </c>
    </row>
    <row r="40" spans="1:8">
      <c r="A40" s="110"/>
      <c r="B40" s="110"/>
      <c r="C40" s="110"/>
      <c r="D40" s="110"/>
      <c r="E40" s="111"/>
    </row>
    <row r="41" spans="1:8" ht="18">
      <c r="A41" s="277" t="s">
        <v>26</v>
      </c>
      <c r="B41" s="277"/>
      <c r="C41" s="277" t="s">
        <v>27</v>
      </c>
      <c r="D41" s="277"/>
      <c r="E41" s="277"/>
      <c r="F41" s="1"/>
      <c r="G41" s="277" t="s">
        <v>28</v>
      </c>
      <c r="H41" s="277"/>
    </row>
    <row r="42" spans="1:8">
      <c r="C42"/>
      <c r="E42" s="49"/>
    </row>
    <row r="43" spans="1:8">
      <c r="C43"/>
      <c r="E43" s="49"/>
    </row>
    <row r="44" spans="1:8">
      <c r="C44"/>
      <c r="E44" s="49"/>
    </row>
    <row r="66" spans="1:8" ht="15.6">
      <c r="A66" s="6" t="s">
        <v>0</v>
      </c>
      <c r="B66" s="6"/>
    </row>
    <row r="67" spans="1:8" ht="26.4" customHeight="1">
      <c r="A67" s="302" t="s">
        <v>51</v>
      </c>
      <c r="B67" s="302"/>
      <c r="C67" s="302"/>
      <c r="D67" s="302"/>
      <c r="E67" s="302"/>
      <c r="F67" s="302"/>
      <c r="G67" s="302"/>
      <c r="H67" s="302"/>
    </row>
    <row r="68" spans="1:8" ht="26.4" customHeight="1">
      <c r="A68" s="87"/>
      <c r="B68" s="303" t="s">
        <v>128</v>
      </c>
      <c r="C68" s="303"/>
      <c r="D68" s="303"/>
      <c r="E68" s="303"/>
      <c r="F68" s="303"/>
      <c r="G68" s="303"/>
      <c r="H68" s="303"/>
    </row>
    <row r="69" spans="1:8" ht="40.200000000000003">
      <c r="A69" s="7" t="s">
        <v>14</v>
      </c>
      <c r="B69" s="8" t="s">
        <v>15</v>
      </c>
      <c r="C69" s="9" t="s">
        <v>16</v>
      </c>
      <c r="D69" s="10" t="s">
        <v>17</v>
      </c>
      <c r="E69" s="61" t="s">
        <v>18</v>
      </c>
      <c r="F69" s="11" t="s">
        <v>4</v>
      </c>
      <c r="G69" s="7" t="s">
        <v>19</v>
      </c>
      <c r="H69" s="7" t="s">
        <v>20</v>
      </c>
    </row>
    <row r="70" spans="1:8" ht="18">
      <c r="A70" s="304" t="s">
        <v>123</v>
      </c>
      <c r="B70" s="12" t="s">
        <v>21</v>
      </c>
      <c r="C70" s="104">
        <f>E70/D70</f>
        <v>0.11982758620689656</v>
      </c>
      <c r="D70" s="17">
        <v>232</v>
      </c>
      <c r="E70" s="50" t="s">
        <v>100</v>
      </c>
      <c r="F70" s="66" t="s">
        <v>1</v>
      </c>
      <c r="G70" s="13">
        <v>21525</v>
      </c>
      <c r="H70" s="14">
        <f>E70*G70</f>
        <v>598395</v>
      </c>
    </row>
    <row r="71" spans="1:8" ht="18">
      <c r="A71" s="305"/>
      <c r="B71" s="37" t="s">
        <v>44</v>
      </c>
      <c r="C71" s="104">
        <f>E71/D71</f>
        <v>3.8793103448275863E-2</v>
      </c>
      <c r="D71" s="17">
        <v>232</v>
      </c>
      <c r="E71" s="55">
        <v>9</v>
      </c>
      <c r="F71" s="67" t="s">
        <v>1</v>
      </c>
      <c r="G71" s="18">
        <v>199500</v>
      </c>
      <c r="H71" s="19">
        <f>E71*G71</f>
        <v>1795500</v>
      </c>
    </row>
    <row r="72" spans="1:8" ht="18">
      <c r="A72" s="306"/>
      <c r="B72" s="17" t="s">
        <v>80</v>
      </c>
      <c r="C72" s="104">
        <f t="shared" ref="C72:C75" si="7">E72/D72</f>
        <v>2.3706896551724137E-2</v>
      </c>
      <c r="D72" s="17">
        <v>232</v>
      </c>
      <c r="E72" s="55">
        <v>5.5</v>
      </c>
      <c r="F72" s="67" t="s">
        <v>1</v>
      </c>
      <c r="G72" s="18">
        <v>123900</v>
      </c>
      <c r="H72" s="19">
        <f t="shared" ref="H72:H74" si="8">E72*G72</f>
        <v>681450</v>
      </c>
    </row>
    <row r="73" spans="1:8" ht="18">
      <c r="A73" s="306"/>
      <c r="B73" s="17" t="s">
        <v>5</v>
      </c>
      <c r="C73" s="104">
        <f t="shared" si="7"/>
        <v>4.3103448275862068E-3</v>
      </c>
      <c r="D73" s="17">
        <v>232</v>
      </c>
      <c r="E73" s="54">
        <v>1</v>
      </c>
      <c r="F73" s="67" t="s">
        <v>1</v>
      </c>
      <c r="G73" s="18">
        <v>136500</v>
      </c>
      <c r="H73" s="19">
        <f t="shared" si="8"/>
        <v>136500</v>
      </c>
    </row>
    <row r="74" spans="1:8" ht="18">
      <c r="A74" s="306"/>
      <c r="B74" s="17" t="s">
        <v>8</v>
      </c>
      <c r="C74" s="104">
        <f t="shared" si="7"/>
        <v>4.3103448275862068E-3</v>
      </c>
      <c r="D74" s="17">
        <v>232</v>
      </c>
      <c r="E74" s="56">
        <v>1</v>
      </c>
      <c r="F74" s="67" t="s">
        <v>1</v>
      </c>
      <c r="G74" s="18">
        <v>36720</v>
      </c>
      <c r="H74" s="19">
        <f t="shared" si="8"/>
        <v>36720</v>
      </c>
    </row>
    <row r="75" spans="1:8" ht="18">
      <c r="A75" s="306"/>
      <c r="B75" s="17" t="s">
        <v>29</v>
      </c>
      <c r="C75" s="104">
        <f t="shared" si="7"/>
        <v>3.6637931034482756E-2</v>
      </c>
      <c r="D75" s="17">
        <v>232</v>
      </c>
      <c r="E75" s="54">
        <v>8.5</v>
      </c>
      <c r="F75" s="67" t="s">
        <v>1</v>
      </c>
      <c r="G75" s="18">
        <v>49350</v>
      </c>
      <c r="H75" s="19">
        <f>E75*G75</f>
        <v>419475</v>
      </c>
    </row>
    <row r="76" spans="1:8" ht="18">
      <c r="A76" s="306"/>
      <c r="B76" s="17" t="s">
        <v>111</v>
      </c>
      <c r="C76" s="46"/>
      <c r="D76" s="17"/>
      <c r="E76" s="54">
        <v>8</v>
      </c>
      <c r="F76" s="67" t="s">
        <v>1</v>
      </c>
      <c r="G76" s="36">
        <v>18900</v>
      </c>
      <c r="H76" s="19">
        <f t="shared" ref="H76:H78" si="9">E76*G76</f>
        <v>151200</v>
      </c>
    </row>
    <row r="77" spans="1:8" ht="18">
      <c r="A77" s="306"/>
      <c r="B77" s="17" t="s">
        <v>11</v>
      </c>
      <c r="C77" s="74"/>
      <c r="D77" s="17"/>
      <c r="E77" s="56">
        <v>0.1</v>
      </c>
      <c r="F77" s="67" t="s">
        <v>1</v>
      </c>
      <c r="G77" s="18">
        <v>60900</v>
      </c>
      <c r="H77" s="19">
        <f t="shared" si="9"/>
        <v>6090</v>
      </c>
    </row>
    <row r="78" spans="1:8" ht="18">
      <c r="A78" s="306"/>
      <c r="B78" s="17" t="s">
        <v>46</v>
      </c>
      <c r="C78" s="74"/>
      <c r="D78" s="17"/>
      <c r="E78" s="56">
        <v>0.1</v>
      </c>
      <c r="F78" s="67" t="s">
        <v>1</v>
      </c>
      <c r="G78" s="36">
        <v>42000</v>
      </c>
      <c r="H78" s="19">
        <f t="shared" si="9"/>
        <v>4200</v>
      </c>
    </row>
    <row r="79" spans="1:8" ht="18">
      <c r="A79" s="307"/>
      <c r="B79" s="298"/>
      <c r="C79" s="299"/>
      <c r="D79" s="299"/>
      <c r="E79" s="299"/>
      <c r="F79" s="299"/>
      <c r="G79" s="300"/>
      <c r="H79" s="26">
        <f>SUM(H70:H78)</f>
        <v>3829530</v>
      </c>
    </row>
    <row r="80" spans="1:8" ht="18">
      <c r="A80" s="295" t="s">
        <v>124</v>
      </c>
      <c r="B80" s="101" t="s">
        <v>10</v>
      </c>
      <c r="C80" s="103">
        <f>E80/D80</f>
        <v>0.11931330472103005</v>
      </c>
      <c r="D80" s="12">
        <v>233</v>
      </c>
      <c r="E80" s="101">
        <v>27.8</v>
      </c>
      <c r="F80" s="12" t="s">
        <v>1</v>
      </c>
      <c r="G80" s="102">
        <v>21525</v>
      </c>
      <c r="H80" s="14">
        <f>G80*E80</f>
        <v>598395</v>
      </c>
    </row>
    <row r="81" spans="1:8" ht="18">
      <c r="A81" s="296"/>
      <c r="B81" s="17" t="s">
        <v>120</v>
      </c>
      <c r="C81" s="104">
        <f>E81/D81</f>
        <v>0.10944206008583691</v>
      </c>
      <c r="D81" s="17">
        <v>233</v>
      </c>
      <c r="E81" s="17">
        <v>25.5</v>
      </c>
      <c r="F81" s="17" t="s">
        <v>1</v>
      </c>
      <c r="G81" s="18">
        <v>85050</v>
      </c>
      <c r="H81" s="19">
        <f>G81*E81</f>
        <v>2168775</v>
      </c>
    </row>
    <row r="82" spans="1:8" ht="18">
      <c r="A82" s="296"/>
      <c r="B82" s="17" t="s">
        <v>121</v>
      </c>
      <c r="C82" s="104">
        <f t="shared" ref="C82:C85" si="10">E82/D82</f>
        <v>3.4334763948497854E-2</v>
      </c>
      <c r="D82" s="17">
        <v>233</v>
      </c>
      <c r="E82" s="17">
        <v>8</v>
      </c>
      <c r="F82" s="17" t="s">
        <v>1</v>
      </c>
      <c r="G82" s="18">
        <v>68250</v>
      </c>
      <c r="H82" s="19">
        <f t="shared" ref="H82:H85" si="11">G82*E82</f>
        <v>546000</v>
      </c>
    </row>
    <row r="83" spans="1:8" ht="18">
      <c r="A83" s="296"/>
      <c r="B83" s="17" t="s">
        <v>71</v>
      </c>
      <c r="C83" s="104">
        <f t="shared" si="10"/>
        <v>1.2875536480686695E-2</v>
      </c>
      <c r="D83" s="17">
        <v>233</v>
      </c>
      <c r="E83" s="51" t="s">
        <v>43</v>
      </c>
      <c r="F83" s="17" t="s">
        <v>1</v>
      </c>
      <c r="G83" s="18">
        <v>78750</v>
      </c>
      <c r="H83" s="19">
        <f t="shared" si="11"/>
        <v>236250</v>
      </c>
    </row>
    <row r="84" spans="1:8" ht="18">
      <c r="A84" s="296"/>
      <c r="B84" s="17" t="s">
        <v>72</v>
      </c>
      <c r="C84" s="104">
        <f t="shared" si="10"/>
        <v>5.5793991416309016E-2</v>
      </c>
      <c r="D84" s="17">
        <v>233</v>
      </c>
      <c r="E84" s="51" t="s">
        <v>73</v>
      </c>
      <c r="F84" s="17" t="s">
        <v>1</v>
      </c>
      <c r="G84" s="18">
        <v>20478</v>
      </c>
      <c r="H84" s="19">
        <f t="shared" si="11"/>
        <v>266214</v>
      </c>
    </row>
    <row r="85" spans="1:8" ht="16.8" customHeight="1">
      <c r="A85" s="296"/>
      <c r="B85" s="17" t="s">
        <v>74</v>
      </c>
      <c r="C85" s="104">
        <f t="shared" si="10"/>
        <v>4.2918454935622321E-4</v>
      </c>
      <c r="D85" s="17">
        <v>233</v>
      </c>
      <c r="E85" s="51" t="s">
        <v>41</v>
      </c>
      <c r="F85" s="17" t="s">
        <v>1</v>
      </c>
      <c r="G85" s="18">
        <v>68040</v>
      </c>
      <c r="H85" s="19">
        <f t="shared" si="11"/>
        <v>6804</v>
      </c>
    </row>
    <row r="86" spans="1:8" ht="16.8" customHeight="1">
      <c r="A86" s="297"/>
      <c r="B86" s="17" t="s">
        <v>75</v>
      </c>
      <c r="C86" s="74"/>
      <c r="D86" s="17"/>
      <c r="E86" s="51" t="s">
        <v>41</v>
      </c>
      <c r="F86" s="67" t="s">
        <v>1</v>
      </c>
      <c r="G86" s="18">
        <v>49349</v>
      </c>
      <c r="H86" s="19">
        <f t="shared" ref="H86" si="12">E86*G86</f>
        <v>4934.9000000000005</v>
      </c>
    </row>
    <row r="87" spans="1:8" ht="18">
      <c r="A87" s="297"/>
      <c r="B87" s="298"/>
      <c r="C87" s="299"/>
      <c r="D87" s="299"/>
      <c r="E87" s="299"/>
      <c r="F87" s="299"/>
      <c r="G87" s="300"/>
      <c r="H87" s="26">
        <f>SUM(H80:H86)</f>
        <v>3827372.9</v>
      </c>
    </row>
    <row r="88" spans="1:8" ht="18">
      <c r="A88" s="297"/>
      <c r="B88" s="66" t="s">
        <v>21</v>
      </c>
      <c r="C88" s="93">
        <f>E88/D88</f>
        <v>0.11948051948051949</v>
      </c>
      <c r="D88" s="12">
        <v>231</v>
      </c>
      <c r="E88" s="101">
        <v>27.6</v>
      </c>
      <c r="F88" s="3" t="s">
        <v>1</v>
      </c>
      <c r="G88" s="4">
        <v>21525</v>
      </c>
      <c r="H88" s="5">
        <f>E88*G88</f>
        <v>594090</v>
      </c>
    </row>
    <row r="89" spans="1:8" ht="18">
      <c r="A89" s="301" t="s">
        <v>125</v>
      </c>
      <c r="B89" s="67" t="s">
        <v>9</v>
      </c>
      <c r="C89" s="95">
        <f t="shared" ref="C89:C92" si="13">E89/D89</f>
        <v>7.7056277056277059E-2</v>
      </c>
      <c r="D89" s="17">
        <v>231</v>
      </c>
      <c r="E89" s="67">
        <v>17.8</v>
      </c>
      <c r="F89" s="17" t="s">
        <v>1</v>
      </c>
      <c r="G89" s="71">
        <v>131250</v>
      </c>
      <c r="H89" s="19">
        <f>E89*G89</f>
        <v>2336250</v>
      </c>
    </row>
    <row r="90" spans="1:8" ht="18">
      <c r="A90" s="297"/>
      <c r="B90" s="17" t="s">
        <v>5</v>
      </c>
      <c r="C90" s="104">
        <f t="shared" si="13"/>
        <v>4.329004329004329E-3</v>
      </c>
      <c r="D90" s="17">
        <v>231</v>
      </c>
      <c r="E90" s="44">
        <v>1</v>
      </c>
      <c r="F90" s="17" t="s">
        <v>1</v>
      </c>
      <c r="G90" s="18">
        <v>136500</v>
      </c>
      <c r="H90" s="19">
        <f t="shared" ref="H90" si="14">G90*E90</f>
        <v>136500</v>
      </c>
    </row>
    <row r="91" spans="1:8" ht="18">
      <c r="A91" s="297"/>
      <c r="B91" s="67" t="s">
        <v>6</v>
      </c>
      <c r="C91" s="94">
        <f t="shared" si="13"/>
        <v>0.56277056277056281</v>
      </c>
      <c r="D91" s="17">
        <v>231</v>
      </c>
      <c r="E91" s="67">
        <v>130</v>
      </c>
      <c r="F91" s="17" t="s">
        <v>1</v>
      </c>
      <c r="G91" s="71">
        <v>3672</v>
      </c>
      <c r="H91" s="19">
        <f t="shared" ref="H91:H94" si="15">E91*G91</f>
        <v>477360</v>
      </c>
    </row>
    <row r="92" spans="1:8" ht="18">
      <c r="A92" s="297"/>
      <c r="B92" s="67" t="s">
        <v>7</v>
      </c>
      <c r="C92" s="94">
        <f t="shared" si="13"/>
        <v>4.329004329004329E-3</v>
      </c>
      <c r="D92" s="17">
        <v>231</v>
      </c>
      <c r="E92" s="89" t="s">
        <v>25</v>
      </c>
      <c r="F92" s="17"/>
      <c r="G92" s="72">
        <v>70200</v>
      </c>
      <c r="H92" s="19">
        <f t="shared" si="15"/>
        <v>70200</v>
      </c>
    </row>
    <row r="93" spans="1:8" ht="18">
      <c r="A93" s="297"/>
      <c r="B93" s="67" t="s">
        <v>77</v>
      </c>
      <c r="C93" s="82"/>
      <c r="D93" s="17">
        <v>231</v>
      </c>
      <c r="E93" s="67">
        <v>0.1</v>
      </c>
      <c r="F93" s="17" t="s">
        <v>1</v>
      </c>
      <c r="G93" s="18">
        <v>60900</v>
      </c>
      <c r="H93" s="19">
        <f t="shared" si="15"/>
        <v>6090</v>
      </c>
    </row>
    <row r="94" spans="1:8" ht="18">
      <c r="A94" s="297"/>
      <c r="B94" s="67" t="s">
        <v>8</v>
      </c>
      <c r="C94" s="67"/>
      <c r="D94" s="17">
        <v>231</v>
      </c>
      <c r="E94" s="89" t="s">
        <v>25</v>
      </c>
      <c r="F94" s="17" t="s">
        <v>1</v>
      </c>
      <c r="G94" s="71">
        <v>44280</v>
      </c>
      <c r="H94" s="19">
        <f t="shared" si="15"/>
        <v>44280</v>
      </c>
    </row>
    <row r="95" spans="1:8" ht="18">
      <c r="A95" s="297"/>
      <c r="B95" s="67" t="s">
        <v>35</v>
      </c>
      <c r="C95" s="104">
        <f t="shared" ref="C95" si="16">E95/D95</f>
        <v>2.5974025974025976E-2</v>
      </c>
      <c r="D95" s="17">
        <v>231</v>
      </c>
      <c r="E95" s="44">
        <v>6</v>
      </c>
      <c r="F95" s="17" t="s">
        <v>1</v>
      </c>
      <c r="G95" s="18">
        <v>23100</v>
      </c>
      <c r="H95" s="19">
        <f t="shared" ref="H95" si="17">G95*E95</f>
        <v>138600</v>
      </c>
    </row>
    <row r="96" spans="1:8" ht="18">
      <c r="A96" s="297"/>
      <c r="B96" s="17"/>
      <c r="C96" s="41"/>
      <c r="D96" s="20"/>
      <c r="E96" s="27"/>
      <c r="F96" s="27"/>
      <c r="G96" s="18"/>
      <c r="H96" s="28">
        <f>SUM(H88:H95)</f>
        <v>3803370</v>
      </c>
    </row>
    <row r="97" spans="1:8" s="31" customFormat="1" ht="18">
      <c r="A97" s="297"/>
      <c r="B97" s="101" t="s">
        <v>10</v>
      </c>
      <c r="C97" s="101">
        <f>E97/D97</f>
        <v>0.11931330472103005</v>
      </c>
      <c r="D97" s="17">
        <v>233</v>
      </c>
      <c r="E97" s="101">
        <v>27.8</v>
      </c>
      <c r="F97" s="101" t="s">
        <v>1</v>
      </c>
      <c r="G97" s="102">
        <v>21525</v>
      </c>
      <c r="H97" s="38">
        <f>E97*G97</f>
        <v>598395</v>
      </c>
    </row>
    <row r="98" spans="1:8" s="31" customFormat="1" ht="18">
      <c r="A98" s="301" t="s">
        <v>126</v>
      </c>
      <c r="B98" s="17" t="s">
        <v>37</v>
      </c>
      <c r="C98" s="17">
        <f>E98/D98</f>
        <v>6.1373390557939916E-2</v>
      </c>
      <c r="D98" s="17">
        <v>233</v>
      </c>
      <c r="E98" s="17">
        <v>14.3</v>
      </c>
      <c r="F98" s="17" t="s">
        <v>3</v>
      </c>
      <c r="G98" s="18">
        <v>162000</v>
      </c>
      <c r="H98" s="19">
        <f>E98*G98</f>
        <v>2316600</v>
      </c>
    </row>
    <row r="99" spans="1:8" s="31" customFormat="1" ht="18">
      <c r="A99" s="297"/>
      <c r="B99" s="17" t="s">
        <v>38</v>
      </c>
      <c r="C99" s="17">
        <f t="shared" ref="C99:C102" si="18">E99/D99</f>
        <v>0.55793991416309008</v>
      </c>
      <c r="D99" s="17">
        <v>233</v>
      </c>
      <c r="E99" s="17">
        <v>130</v>
      </c>
      <c r="F99" s="17" t="s">
        <v>2</v>
      </c>
      <c r="G99" s="18">
        <v>3456</v>
      </c>
      <c r="H99" s="19">
        <f t="shared" ref="H99:H103" si="19">E99*G99</f>
        <v>449280</v>
      </c>
    </row>
    <row r="100" spans="1:8" s="31" customFormat="1" ht="18">
      <c r="A100" s="297"/>
      <c r="B100" s="17" t="s">
        <v>39</v>
      </c>
      <c r="C100" s="17">
        <f t="shared" si="18"/>
        <v>2.1459227467811159E-2</v>
      </c>
      <c r="D100" s="17">
        <v>233</v>
      </c>
      <c r="E100" s="17">
        <v>5</v>
      </c>
      <c r="F100" s="17" t="s">
        <v>1</v>
      </c>
      <c r="G100" s="18">
        <v>31500</v>
      </c>
      <c r="H100" s="19">
        <f t="shared" si="19"/>
        <v>157500</v>
      </c>
    </row>
    <row r="101" spans="1:8" s="31" customFormat="1" ht="18">
      <c r="A101" s="297"/>
      <c r="B101" s="17" t="s">
        <v>12</v>
      </c>
      <c r="C101" s="17">
        <f t="shared" si="18"/>
        <v>4.2918454935622317E-3</v>
      </c>
      <c r="D101" s="17">
        <v>233</v>
      </c>
      <c r="E101" s="17">
        <v>1</v>
      </c>
      <c r="F101" s="17" t="s">
        <v>1</v>
      </c>
      <c r="G101" s="18">
        <v>173250</v>
      </c>
      <c r="H101" s="19">
        <f t="shared" si="19"/>
        <v>173250</v>
      </c>
    </row>
    <row r="102" spans="1:8" s="31" customFormat="1" ht="18">
      <c r="A102" s="297"/>
      <c r="B102" s="17" t="s">
        <v>110</v>
      </c>
      <c r="C102" s="17">
        <f t="shared" si="18"/>
        <v>2.7467811158798285E-2</v>
      </c>
      <c r="D102" s="17">
        <v>233</v>
      </c>
      <c r="E102" s="17">
        <v>6.4</v>
      </c>
      <c r="F102" s="17" t="s">
        <v>1</v>
      </c>
      <c r="G102" s="18">
        <v>18900</v>
      </c>
      <c r="H102" s="19">
        <f t="shared" si="19"/>
        <v>120960</v>
      </c>
    </row>
    <row r="103" spans="1:8" s="31" customFormat="1" ht="18">
      <c r="A103" s="297"/>
      <c r="B103" s="17" t="s">
        <v>11</v>
      </c>
      <c r="C103" s="17"/>
      <c r="D103" s="17"/>
      <c r="E103" s="17">
        <v>0.1</v>
      </c>
      <c r="F103" s="17" t="s">
        <v>1</v>
      </c>
      <c r="G103" s="18">
        <v>60900</v>
      </c>
      <c r="H103" s="19">
        <f t="shared" si="19"/>
        <v>6090</v>
      </c>
    </row>
    <row r="104" spans="1:8" s="31" customFormat="1" ht="18">
      <c r="A104" s="297"/>
      <c r="B104" s="17" t="s">
        <v>36</v>
      </c>
      <c r="C104" s="17"/>
      <c r="D104" s="17"/>
      <c r="E104" s="109">
        <v>0.1</v>
      </c>
      <c r="F104" s="17" t="s">
        <v>1</v>
      </c>
      <c r="G104" s="18">
        <v>42000</v>
      </c>
      <c r="H104" s="19">
        <v>4200</v>
      </c>
    </row>
    <row r="105" spans="1:8" s="31" customFormat="1" ht="18">
      <c r="A105" s="297"/>
      <c r="B105" s="77"/>
      <c r="C105" s="78"/>
      <c r="D105" s="78"/>
      <c r="E105" s="79"/>
      <c r="F105" s="78"/>
      <c r="G105" s="80"/>
      <c r="H105" s="81">
        <f>SUM(H97:H104)</f>
        <v>3826275</v>
      </c>
    </row>
    <row r="106" spans="1:8" s="31" customFormat="1" ht="18">
      <c r="A106" s="297"/>
      <c r="B106" s="12" t="s">
        <v>21</v>
      </c>
      <c r="C106" s="59">
        <f>E106/D106</f>
        <v>0.11931330472103005</v>
      </c>
      <c r="D106" s="12">
        <v>233</v>
      </c>
      <c r="E106" s="92" t="s">
        <v>100</v>
      </c>
      <c r="F106" s="12" t="s">
        <v>1</v>
      </c>
      <c r="G106" s="13">
        <v>21525</v>
      </c>
      <c r="H106" s="14">
        <f>E106*G106</f>
        <v>598395</v>
      </c>
    </row>
    <row r="107" spans="1:8" s="31" customFormat="1" ht="18">
      <c r="A107" s="29"/>
      <c r="B107" s="17" t="s">
        <v>80</v>
      </c>
      <c r="C107" s="46">
        <f>E107/D107</f>
        <v>7.5965665236051499E-2</v>
      </c>
      <c r="D107" s="17">
        <v>233</v>
      </c>
      <c r="E107" s="55">
        <v>17.7</v>
      </c>
      <c r="F107" s="17" t="s">
        <v>1</v>
      </c>
      <c r="G107" s="18">
        <v>125580</v>
      </c>
      <c r="H107" s="19">
        <f>E107*G107</f>
        <v>2222766</v>
      </c>
    </row>
    <row r="108" spans="1:8" s="31" customFormat="1" ht="18">
      <c r="A108" s="301" t="s">
        <v>127</v>
      </c>
      <c r="B108" s="17" t="s">
        <v>33</v>
      </c>
      <c r="C108" s="46">
        <f t="shared" ref="C108:C110" si="20">E108/D108</f>
        <v>3.0042918454935622E-2</v>
      </c>
      <c r="D108" s="17">
        <v>233</v>
      </c>
      <c r="E108" s="51" t="s">
        <v>122</v>
      </c>
      <c r="F108" s="17" t="s">
        <v>1</v>
      </c>
      <c r="G108" s="18">
        <v>67200</v>
      </c>
      <c r="H108" s="19">
        <f>E108*G108</f>
        <v>470400</v>
      </c>
    </row>
    <row r="109" spans="1:8" s="31" customFormat="1" ht="18">
      <c r="A109" s="297"/>
      <c r="B109" s="17" t="s">
        <v>71</v>
      </c>
      <c r="C109" s="46">
        <f t="shared" si="20"/>
        <v>1.2875536480686695E-2</v>
      </c>
      <c r="D109" s="17">
        <v>233</v>
      </c>
      <c r="E109" s="51" t="s">
        <v>43</v>
      </c>
      <c r="F109" s="17" t="s">
        <v>1</v>
      </c>
      <c r="G109" s="18">
        <v>78750</v>
      </c>
      <c r="H109" s="19">
        <f t="shared" ref="H109:H113" si="21">E109*G109</f>
        <v>236250</v>
      </c>
    </row>
    <row r="110" spans="1:8" s="31" customFormat="1" ht="18">
      <c r="A110" s="297"/>
      <c r="B110" s="17" t="s">
        <v>72</v>
      </c>
      <c r="C110" s="46">
        <f t="shared" si="20"/>
        <v>5.5793991416309016E-2</v>
      </c>
      <c r="D110" s="17">
        <v>233</v>
      </c>
      <c r="E110" s="51" t="s">
        <v>73</v>
      </c>
      <c r="F110" s="17" t="s">
        <v>1</v>
      </c>
      <c r="G110" s="18">
        <v>20478</v>
      </c>
      <c r="H110" s="19">
        <f t="shared" si="21"/>
        <v>266214</v>
      </c>
    </row>
    <row r="111" spans="1:8" s="31" customFormat="1" ht="18">
      <c r="A111" s="297"/>
      <c r="B111" s="17" t="s">
        <v>74</v>
      </c>
      <c r="C111" s="46"/>
      <c r="D111" s="17">
        <v>233</v>
      </c>
      <c r="E111" s="51" t="s">
        <v>41</v>
      </c>
      <c r="F111" s="17" t="s">
        <v>1</v>
      </c>
      <c r="G111" s="18">
        <v>68040</v>
      </c>
      <c r="H111" s="19">
        <f t="shared" si="21"/>
        <v>6804</v>
      </c>
    </row>
    <row r="112" spans="1:8" s="31" customFormat="1" ht="18">
      <c r="A112" s="297"/>
      <c r="B112" s="17" t="s">
        <v>61</v>
      </c>
      <c r="C112" s="46"/>
      <c r="D112" s="17">
        <v>233</v>
      </c>
      <c r="E112" s="51" t="s">
        <v>41</v>
      </c>
      <c r="F112" s="17" t="s">
        <v>1</v>
      </c>
      <c r="G112" s="18">
        <v>60900</v>
      </c>
      <c r="H112" s="19">
        <f t="shared" si="21"/>
        <v>6090</v>
      </c>
    </row>
    <row r="113" spans="1:8" s="31" customFormat="1" ht="18">
      <c r="A113" s="297"/>
      <c r="B113" s="17" t="s">
        <v>75</v>
      </c>
      <c r="C113" s="46"/>
      <c r="D113" s="17">
        <v>233</v>
      </c>
      <c r="E113" s="51" t="s">
        <v>41</v>
      </c>
      <c r="F113" s="17" t="s">
        <v>1</v>
      </c>
      <c r="G113" s="18">
        <v>49349</v>
      </c>
      <c r="H113" s="19">
        <f t="shared" si="21"/>
        <v>4934.9000000000005</v>
      </c>
    </row>
    <row r="114" spans="1:8" ht="18">
      <c r="A114" s="297"/>
      <c r="B114" s="3"/>
      <c r="C114" s="48"/>
      <c r="D114" s="2"/>
      <c r="E114" s="63"/>
      <c r="F114" s="5"/>
      <c r="G114" s="2"/>
      <c r="H114" s="26">
        <f>SUM(H106:H113)</f>
        <v>3811853.9</v>
      </c>
    </row>
    <row r="115" spans="1:8">
      <c r="A115" s="297"/>
    </row>
    <row r="123" spans="1:8" ht="15.6">
      <c r="A123" s="6" t="s">
        <v>0</v>
      </c>
      <c r="B123" s="6"/>
    </row>
    <row r="124" spans="1:8" ht="26.4" customHeight="1">
      <c r="A124" s="302" t="s">
        <v>51</v>
      </c>
      <c r="B124" s="302"/>
      <c r="C124" s="302"/>
      <c r="D124" s="302"/>
      <c r="E124" s="302"/>
      <c r="F124" s="302"/>
      <c r="G124" s="302"/>
      <c r="H124" s="302"/>
    </row>
    <row r="125" spans="1:8" ht="26.4" customHeight="1">
      <c r="A125" s="87"/>
      <c r="B125" s="303" t="s">
        <v>118</v>
      </c>
      <c r="C125" s="303"/>
      <c r="D125" s="303"/>
      <c r="E125" s="303"/>
      <c r="F125" s="303"/>
      <c r="G125" s="303"/>
      <c r="H125" s="303"/>
    </row>
    <row r="126" spans="1:8" ht="40.200000000000003">
      <c r="A126" s="7" t="s">
        <v>14</v>
      </c>
      <c r="B126" s="8" t="s">
        <v>15</v>
      </c>
      <c r="C126" s="9" t="s">
        <v>16</v>
      </c>
      <c r="D126" s="10" t="s">
        <v>17</v>
      </c>
      <c r="E126" s="61" t="s">
        <v>18</v>
      </c>
      <c r="F126" s="11" t="s">
        <v>4</v>
      </c>
      <c r="G126" s="7" t="s">
        <v>19</v>
      </c>
      <c r="H126" s="7" t="s">
        <v>20</v>
      </c>
    </row>
    <row r="127" spans="1:8" ht="18">
      <c r="A127" s="310">
        <v>2</v>
      </c>
      <c r="B127" s="12" t="s">
        <v>21</v>
      </c>
      <c r="C127" s="104">
        <f>E127/D127</f>
        <v>0.11939655172413793</v>
      </c>
      <c r="D127" s="17">
        <v>232</v>
      </c>
      <c r="E127" s="50" t="s">
        <v>112</v>
      </c>
      <c r="F127" s="66" t="s">
        <v>1</v>
      </c>
      <c r="G127" s="13">
        <v>21525</v>
      </c>
      <c r="H127" s="14">
        <f>E127*G127</f>
        <v>596242.5</v>
      </c>
    </row>
    <row r="128" spans="1:8" ht="18">
      <c r="A128" s="311"/>
      <c r="B128" s="37" t="s">
        <v>44</v>
      </c>
      <c r="C128" s="104">
        <f>E128/D128</f>
        <v>3.8362068965517242E-2</v>
      </c>
      <c r="D128" s="17">
        <v>232</v>
      </c>
      <c r="E128" s="55">
        <v>8.9</v>
      </c>
      <c r="F128" s="67" t="s">
        <v>1</v>
      </c>
      <c r="G128" s="18">
        <v>199500</v>
      </c>
      <c r="H128" s="19">
        <f>E128*G128</f>
        <v>1775550</v>
      </c>
    </row>
    <row r="129" spans="1:8" ht="18">
      <c r="A129" s="311"/>
      <c r="B129" s="17" t="s">
        <v>80</v>
      </c>
      <c r="C129" s="104">
        <f t="shared" ref="C129:C132" si="22">E129/D129</f>
        <v>2.3706896551724137E-2</v>
      </c>
      <c r="D129" s="17">
        <v>232</v>
      </c>
      <c r="E129" s="55">
        <v>5.5</v>
      </c>
      <c r="F129" s="67" t="s">
        <v>1</v>
      </c>
      <c r="G129" s="18">
        <v>123900</v>
      </c>
      <c r="H129" s="19">
        <f t="shared" ref="H129:H135" si="23">E129*G129</f>
        <v>681450</v>
      </c>
    </row>
    <row r="130" spans="1:8" ht="18">
      <c r="A130" s="311"/>
      <c r="B130" s="17" t="s">
        <v>5</v>
      </c>
      <c r="C130" s="104">
        <f t="shared" si="22"/>
        <v>4.3103448275862068E-3</v>
      </c>
      <c r="D130" s="17">
        <v>232</v>
      </c>
      <c r="E130" s="54">
        <v>1</v>
      </c>
      <c r="F130" s="67" t="s">
        <v>1</v>
      </c>
      <c r="G130" s="18">
        <v>136500</v>
      </c>
      <c r="H130" s="19">
        <f t="shared" si="23"/>
        <v>136500</v>
      </c>
    </row>
    <row r="131" spans="1:8" ht="18">
      <c r="A131" s="311"/>
      <c r="B131" s="17" t="s">
        <v>8</v>
      </c>
      <c r="C131" s="104">
        <f t="shared" si="22"/>
        <v>4.3103448275862068E-3</v>
      </c>
      <c r="D131" s="17">
        <v>232</v>
      </c>
      <c r="E131" s="56">
        <v>1</v>
      </c>
      <c r="F131" s="67" t="s">
        <v>1</v>
      </c>
      <c r="G131" s="18">
        <v>36720</v>
      </c>
      <c r="H131" s="19">
        <f t="shared" si="23"/>
        <v>36720</v>
      </c>
    </row>
    <row r="132" spans="1:8" ht="18">
      <c r="A132" s="311"/>
      <c r="B132" s="17" t="s">
        <v>29</v>
      </c>
      <c r="C132" s="104">
        <f t="shared" si="22"/>
        <v>3.6637931034482756E-2</v>
      </c>
      <c r="D132" s="17">
        <v>232</v>
      </c>
      <c r="E132" s="54">
        <v>8.5</v>
      </c>
      <c r="F132" s="67" t="s">
        <v>1</v>
      </c>
      <c r="G132" s="18">
        <v>49350</v>
      </c>
      <c r="H132" s="19">
        <f>E132*G132</f>
        <v>419475</v>
      </c>
    </row>
    <row r="133" spans="1:8" ht="18">
      <c r="A133" s="311"/>
      <c r="B133" s="17" t="s">
        <v>111</v>
      </c>
      <c r="C133" s="46"/>
      <c r="D133" s="17"/>
      <c r="E133" s="54">
        <v>8</v>
      </c>
      <c r="F133" s="67" t="s">
        <v>1</v>
      </c>
      <c r="G133" s="36">
        <v>18900</v>
      </c>
      <c r="H133" s="19">
        <f t="shared" si="23"/>
        <v>151200</v>
      </c>
    </row>
    <row r="134" spans="1:8" ht="18">
      <c r="A134" s="311"/>
      <c r="B134" s="17" t="s">
        <v>11</v>
      </c>
      <c r="C134" s="74"/>
      <c r="D134" s="17"/>
      <c r="E134" s="56">
        <v>0.1</v>
      </c>
      <c r="F134" s="67" t="s">
        <v>1</v>
      </c>
      <c r="G134" s="18">
        <v>60900</v>
      </c>
      <c r="H134" s="19">
        <f t="shared" si="23"/>
        <v>6090</v>
      </c>
    </row>
    <row r="135" spans="1:8" ht="18">
      <c r="A135" s="311"/>
      <c r="B135" s="17" t="s">
        <v>46</v>
      </c>
      <c r="C135" s="74"/>
      <c r="D135" s="17"/>
      <c r="E135" s="56">
        <v>0.1</v>
      </c>
      <c r="F135" s="67" t="s">
        <v>1</v>
      </c>
      <c r="G135" s="36">
        <v>42000</v>
      </c>
      <c r="H135" s="19">
        <f t="shared" si="23"/>
        <v>4200</v>
      </c>
    </row>
    <row r="136" spans="1:8" ht="18">
      <c r="A136" s="312"/>
      <c r="B136" s="298"/>
      <c r="C136" s="299"/>
      <c r="D136" s="299"/>
      <c r="E136" s="299"/>
      <c r="F136" s="299"/>
      <c r="G136" s="300"/>
      <c r="H136" s="26">
        <f>SUM(H127:H135)</f>
        <v>3807427.5</v>
      </c>
    </row>
    <row r="137" spans="1:8" ht="18">
      <c r="A137" s="310">
        <v>3</v>
      </c>
      <c r="B137" s="12" t="s">
        <v>21</v>
      </c>
      <c r="C137" s="103">
        <f>E137/D137</f>
        <v>0.11931330472103005</v>
      </c>
      <c r="D137" s="12">
        <v>233</v>
      </c>
      <c r="E137" s="50" t="s">
        <v>100</v>
      </c>
      <c r="F137" s="12" t="s">
        <v>1</v>
      </c>
      <c r="G137" s="13">
        <v>21525</v>
      </c>
      <c r="H137" s="14">
        <f>G137*E137</f>
        <v>598395</v>
      </c>
    </row>
    <row r="138" spans="1:8" ht="18">
      <c r="A138" s="311"/>
      <c r="B138" s="17" t="s">
        <v>5</v>
      </c>
      <c r="C138" s="104">
        <f>E138/D138</f>
        <v>6.5665236051502152E-2</v>
      </c>
      <c r="D138" s="17">
        <v>233</v>
      </c>
      <c r="E138" s="51" t="s">
        <v>105</v>
      </c>
      <c r="F138" s="17" t="s">
        <v>1</v>
      </c>
      <c r="G138" s="18">
        <v>136500</v>
      </c>
      <c r="H138" s="19">
        <f>G138*E138</f>
        <v>2088450</v>
      </c>
    </row>
    <row r="139" spans="1:8" ht="18">
      <c r="A139" s="311"/>
      <c r="B139" s="17" t="s">
        <v>31</v>
      </c>
      <c r="C139" s="104">
        <f t="shared" ref="C139:C142" si="24">E139/D139</f>
        <v>3.004291845493562E-3</v>
      </c>
      <c r="D139" s="17">
        <v>233</v>
      </c>
      <c r="E139" s="51" t="s">
        <v>32</v>
      </c>
      <c r="F139" s="17" t="s">
        <v>1</v>
      </c>
      <c r="G139" s="18">
        <v>306600</v>
      </c>
      <c r="H139" s="19">
        <f t="shared" ref="H139:H142" si="25">G139*E139</f>
        <v>214620</v>
      </c>
    </row>
    <row r="140" spans="1:8" ht="18">
      <c r="A140" s="311"/>
      <c r="B140" s="17" t="s">
        <v>33</v>
      </c>
      <c r="C140" s="104">
        <f t="shared" si="24"/>
        <v>3.7768240343347644E-2</v>
      </c>
      <c r="D140" s="17">
        <v>233</v>
      </c>
      <c r="E140" s="51" t="s">
        <v>116</v>
      </c>
      <c r="F140" s="17" t="s">
        <v>1</v>
      </c>
      <c r="G140" s="18">
        <v>67200</v>
      </c>
      <c r="H140" s="19">
        <f t="shared" si="25"/>
        <v>591360</v>
      </c>
    </row>
    <row r="141" spans="1:8" ht="18">
      <c r="A141" s="311"/>
      <c r="B141" s="17" t="s">
        <v>5</v>
      </c>
      <c r="C141" s="104">
        <f t="shared" si="24"/>
        <v>4.2918454935622317E-3</v>
      </c>
      <c r="D141" s="17">
        <v>233</v>
      </c>
      <c r="E141" s="44">
        <v>1</v>
      </c>
      <c r="F141" s="17" t="s">
        <v>1</v>
      </c>
      <c r="G141" s="18">
        <v>136500</v>
      </c>
      <c r="H141" s="19">
        <f t="shared" si="25"/>
        <v>136500</v>
      </c>
    </row>
    <row r="142" spans="1:8" ht="16.8" customHeight="1">
      <c r="A142" s="311"/>
      <c r="B142" s="17" t="s">
        <v>70</v>
      </c>
      <c r="C142" s="104">
        <f t="shared" si="24"/>
        <v>3.4334763948497854E-2</v>
      </c>
      <c r="D142" s="17">
        <v>233</v>
      </c>
      <c r="E142" s="44">
        <v>8</v>
      </c>
      <c r="F142" s="17" t="s">
        <v>1</v>
      </c>
      <c r="G142" s="18">
        <v>23100</v>
      </c>
      <c r="H142" s="19">
        <f t="shared" si="25"/>
        <v>184800</v>
      </c>
    </row>
    <row r="143" spans="1:8" ht="16.8" customHeight="1">
      <c r="A143" s="311"/>
      <c r="B143" s="17" t="s">
        <v>11</v>
      </c>
      <c r="C143" s="74"/>
      <c r="D143" s="17"/>
      <c r="E143" s="56">
        <v>0.1</v>
      </c>
      <c r="F143" s="67" t="s">
        <v>1</v>
      </c>
      <c r="G143" s="18">
        <v>60900</v>
      </c>
      <c r="H143" s="19">
        <f t="shared" ref="H143" si="26">E143*G143</f>
        <v>6090</v>
      </c>
    </row>
    <row r="144" spans="1:8" ht="18">
      <c r="A144" s="311"/>
      <c r="B144" s="20" t="s">
        <v>36</v>
      </c>
      <c r="C144" s="47"/>
      <c r="D144" s="17">
        <v>233</v>
      </c>
      <c r="E144" s="62" t="s">
        <v>41</v>
      </c>
      <c r="F144" s="17" t="s">
        <v>1</v>
      </c>
      <c r="G144" s="36">
        <v>42000</v>
      </c>
      <c r="H144" s="19">
        <f t="shared" ref="H144" si="27">G144*E144</f>
        <v>4200</v>
      </c>
    </row>
    <row r="145" spans="1:8" ht="18">
      <c r="A145" s="312"/>
      <c r="B145" s="298"/>
      <c r="C145" s="299"/>
      <c r="D145" s="299"/>
      <c r="E145" s="299"/>
      <c r="F145" s="299"/>
      <c r="G145" s="300"/>
      <c r="H145" s="26">
        <f>SUM(H137:H144)</f>
        <v>3824415</v>
      </c>
    </row>
    <row r="146" spans="1:8" ht="18">
      <c r="A146" s="310">
        <v>4</v>
      </c>
      <c r="B146" s="2" t="s">
        <v>21</v>
      </c>
      <c r="C146" s="93">
        <f>E146/D146</f>
        <v>0.11931330472103005</v>
      </c>
      <c r="D146" s="12">
        <v>233</v>
      </c>
      <c r="E146" s="92" t="s">
        <v>100</v>
      </c>
      <c r="F146" s="3" t="s">
        <v>1</v>
      </c>
      <c r="G146" s="4">
        <v>21525</v>
      </c>
      <c r="H146" s="5">
        <f>E146*G146</f>
        <v>598395</v>
      </c>
    </row>
    <row r="147" spans="1:8" ht="18">
      <c r="A147" s="311"/>
      <c r="B147" s="15" t="s">
        <v>47</v>
      </c>
      <c r="C147" s="95">
        <f t="shared" ref="C147:C149" si="28">E147/D147</f>
        <v>6.9957081545064387E-2</v>
      </c>
      <c r="D147" s="17">
        <v>233</v>
      </c>
      <c r="E147" s="91" t="s">
        <v>119</v>
      </c>
      <c r="F147" s="82" t="s">
        <v>1</v>
      </c>
      <c r="G147" s="83">
        <v>156600</v>
      </c>
      <c r="H147" s="16">
        <f t="shared" ref="H147:H150" si="29">E147*G147</f>
        <v>2552580</v>
      </c>
    </row>
    <row r="148" spans="1:8" ht="18">
      <c r="A148" s="311"/>
      <c r="B148" s="15" t="s">
        <v>48</v>
      </c>
      <c r="C148" s="94">
        <f t="shared" si="28"/>
        <v>6.4377682403433473E-2</v>
      </c>
      <c r="D148" s="17">
        <v>233</v>
      </c>
      <c r="E148" s="89" t="s">
        <v>84</v>
      </c>
      <c r="F148" s="67" t="s">
        <v>1</v>
      </c>
      <c r="G148" s="71">
        <v>21000</v>
      </c>
      <c r="H148" s="16">
        <f t="shared" si="29"/>
        <v>315000</v>
      </c>
    </row>
    <row r="149" spans="1:8" ht="18">
      <c r="A149" s="311"/>
      <c r="B149" s="15" t="s">
        <v>5</v>
      </c>
      <c r="C149" s="94">
        <f t="shared" si="28"/>
        <v>4.2918454935622317E-3</v>
      </c>
      <c r="D149" s="17">
        <v>233</v>
      </c>
      <c r="E149" s="89" t="s">
        <v>25</v>
      </c>
      <c r="F149" s="67" t="s">
        <v>1</v>
      </c>
      <c r="G149" s="71">
        <v>136500</v>
      </c>
      <c r="H149" s="16">
        <f t="shared" si="29"/>
        <v>136500</v>
      </c>
    </row>
    <row r="150" spans="1:8" ht="18">
      <c r="A150" s="311"/>
      <c r="B150" s="17" t="s">
        <v>50</v>
      </c>
      <c r="C150" s="82"/>
      <c r="D150" s="17">
        <v>233</v>
      </c>
      <c r="E150" s="17">
        <v>0.1</v>
      </c>
      <c r="F150" s="17" t="s">
        <v>1</v>
      </c>
      <c r="G150" s="18">
        <v>60900</v>
      </c>
      <c r="H150" s="19">
        <f t="shared" si="29"/>
        <v>6090</v>
      </c>
    </row>
    <row r="151" spans="1:8" ht="18">
      <c r="A151" s="311"/>
      <c r="B151" s="15" t="s">
        <v>11</v>
      </c>
      <c r="C151" s="67"/>
      <c r="D151" s="17">
        <v>233</v>
      </c>
      <c r="E151" s="109">
        <v>0.1</v>
      </c>
      <c r="F151" s="17" t="s">
        <v>1</v>
      </c>
      <c r="G151" s="18">
        <v>42000</v>
      </c>
      <c r="H151" s="19">
        <v>4200</v>
      </c>
    </row>
    <row r="152" spans="1:8" ht="18">
      <c r="A152" s="311"/>
      <c r="B152" s="107" t="s">
        <v>94</v>
      </c>
      <c r="C152" s="108"/>
      <c r="D152" s="12">
        <v>233</v>
      </c>
      <c r="E152" s="44">
        <v>9</v>
      </c>
      <c r="F152" s="17" t="s">
        <v>1</v>
      </c>
      <c r="G152" s="18">
        <v>23100</v>
      </c>
      <c r="H152" s="19">
        <f t="shared" ref="H152" si="30">G152*E152</f>
        <v>207900</v>
      </c>
    </row>
    <row r="153" spans="1:8" ht="18">
      <c r="A153" s="311"/>
      <c r="B153" s="17"/>
      <c r="C153" s="41"/>
      <c r="D153" s="20"/>
      <c r="E153" s="27"/>
      <c r="F153" s="27"/>
      <c r="G153" s="18"/>
      <c r="H153" s="28">
        <f>SUM(H146:H152)</f>
        <v>3820665</v>
      </c>
    </row>
    <row r="154" spans="1:8" s="31" customFormat="1" ht="18">
      <c r="A154" s="308">
        <v>5</v>
      </c>
      <c r="B154" s="101" t="s">
        <v>10</v>
      </c>
      <c r="C154" s="101">
        <f>E154/D154</f>
        <v>0.11931330472103005</v>
      </c>
      <c r="D154" s="17">
        <v>233</v>
      </c>
      <c r="E154" s="101">
        <v>27.8</v>
      </c>
      <c r="F154" s="101" t="s">
        <v>1</v>
      </c>
      <c r="G154" s="102">
        <v>21525</v>
      </c>
      <c r="H154" s="38">
        <f>E154*G154</f>
        <v>598395</v>
      </c>
    </row>
    <row r="155" spans="1:8" s="31" customFormat="1" ht="18">
      <c r="A155" s="309"/>
      <c r="B155" s="17" t="s">
        <v>37</v>
      </c>
      <c r="C155" s="17">
        <f>E155/D155</f>
        <v>6.1373390557939916E-2</v>
      </c>
      <c r="D155" s="17">
        <v>233</v>
      </c>
      <c r="E155" s="17">
        <v>14.3</v>
      </c>
      <c r="F155" s="17" t="s">
        <v>3</v>
      </c>
      <c r="G155" s="18">
        <v>162000</v>
      </c>
      <c r="H155" s="19">
        <f>E155*G155</f>
        <v>2316600</v>
      </c>
    </row>
    <row r="156" spans="1:8" s="31" customFormat="1" ht="18">
      <c r="A156" s="309"/>
      <c r="B156" s="17" t="s">
        <v>38</v>
      </c>
      <c r="C156" s="17">
        <f t="shared" ref="C156:C159" si="31">E156/D156</f>
        <v>0.55793991416309008</v>
      </c>
      <c r="D156" s="17">
        <v>233</v>
      </c>
      <c r="E156" s="17">
        <v>130</v>
      </c>
      <c r="F156" s="17" t="s">
        <v>2</v>
      </c>
      <c r="G156" s="18">
        <v>3456</v>
      </c>
      <c r="H156" s="19">
        <f t="shared" ref="H156:H160" si="32">E156*G156</f>
        <v>449280</v>
      </c>
    </row>
    <row r="157" spans="1:8" s="31" customFormat="1" ht="18">
      <c r="A157" s="309"/>
      <c r="B157" s="17" t="s">
        <v>39</v>
      </c>
      <c r="C157" s="17">
        <f t="shared" si="31"/>
        <v>2.1459227467811159E-2</v>
      </c>
      <c r="D157" s="17">
        <v>233</v>
      </c>
      <c r="E157" s="17">
        <v>5</v>
      </c>
      <c r="F157" s="17" t="s">
        <v>1</v>
      </c>
      <c r="G157" s="18">
        <v>31500</v>
      </c>
      <c r="H157" s="19">
        <f t="shared" si="32"/>
        <v>157500</v>
      </c>
    </row>
    <row r="158" spans="1:8" s="31" customFormat="1" ht="18">
      <c r="A158" s="309"/>
      <c r="B158" s="17" t="s">
        <v>12</v>
      </c>
      <c r="C158" s="17">
        <f t="shared" si="31"/>
        <v>4.2918454935622317E-3</v>
      </c>
      <c r="D158" s="17">
        <v>233</v>
      </c>
      <c r="E158" s="17">
        <v>1</v>
      </c>
      <c r="F158" s="17" t="s">
        <v>1</v>
      </c>
      <c r="G158" s="18">
        <v>173250</v>
      </c>
      <c r="H158" s="19">
        <f t="shared" si="32"/>
        <v>173250</v>
      </c>
    </row>
    <row r="159" spans="1:8" s="31" customFormat="1" ht="18">
      <c r="A159" s="309"/>
      <c r="B159" s="17" t="s">
        <v>110</v>
      </c>
      <c r="C159" s="17">
        <f t="shared" si="31"/>
        <v>2.7467811158798285E-2</v>
      </c>
      <c r="D159" s="17">
        <v>233</v>
      </c>
      <c r="E159" s="17">
        <v>6.4</v>
      </c>
      <c r="F159" s="17" t="s">
        <v>1</v>
      </c>
      <c r="G159" s="18">
        <v>18900</v>
      </c>
      <c r="H159" s="19">
        <f t="shared" si="32"/>
        <v>120960</v>
      </c>
    </row>
    <row r="160" spans="1:8" s="31" customFormat="1" ht="18">
      <c r="A160" s="309"/>
      <c r="B160" s="17" t="s">
        <v>11</v>
      </c>
      <c r="C160" s="17"/>
      <c r="D160" s="17"/>
      <c r="E160" s="17">
        <v>0.1</v>
      </c>
      <c r="F160" s="17" t="s">
        <v>1</v>
      </c>
      <c r="G160" s="18">
        <v>60900</v>
      </c>
      <c r="H160" s="19">
        <f t="shared" si="32"/>
        <v>6090</v>
      </c>
    </row>
    <row r="161" spans="1:8" s="31" customFormat="1" ht="18">
      <c r="A161" s="309"/>
      <c r="B161" s="17" t="s">
        <v>36</v>
      </c>
      <c r="C161" s="17"/>
      <c r="D161" s="17"/>
      <c r="E161" s="109">
        <v>0.1</v>
      </c>
      <c r="F161" s="17" t="s">
        <v>1</v>
      </c>
      <c r="G161" s="18">
        <v>42000</v>
      </c>
      <c r="H161" s="19">
        <v>4200</v>
      </c>
    </row>
    <row r="162" spans="1:8" s="31" customFormat="1" ht="18">
      <c r="A162" s="76"/>
      <c r="B162" s="77"/>
      <c r="C162" s="78"/>
      <c r="D162" s="78"/>
      <c r="E162" s="79"/>
      <c r="F162" s="78"/>
      <c r="G162" s="80"/>
      <c r="H162" s="81">
        <f>SUM(H154:H161)</f>
        <v>3826275</v>
      </c>
    </row>
    <row r="163" spans="1:8" s="31" customFormat="1" ht="18">
      <c r="A163" s="308">
        <v>6</v>
      </c>
      <c r="B163" s="12" t="s">
        <v>21</v>
      </c>
      <c r="C163" s="59">
        <f>E163/D163</f>
        <v>0.11931330472103005</v>
      </c>
      <c r="D163" s="12">
        <v>233</v>
      </c>
      <c r="E163" s="92" t="s">
        <v>100</v>
      </c>
      <c r="F163" s="12" t="s">
        <v>1</v>
      </c>
      <c r="G163" s="13">
        <v>21525</v>
      </c>
      <c r="H163" s="14">
        <f>E163*G163</f>
        <v>598395</v>
      </c>
    </row>
    <row r="164" spans="1:8" s="31" customFormat="1" ht="18">
      <c r="A164" s="309"/>
      <c r="B164" s="17" t="s">
        <v>80</v>
      </c>
      <c r="C164" s="46">
        <f>E164/D164</f>
        <v>7.5536480686695287E-2</v>
      </c>
      <c r="D164" s="17">
        <v>233</v>
      </c>
      <c r="E164" s="55">
        <v>17.600000000000001</v>
      </c>
      <c r="F164" s="17" t="s">
        <v>1</v>
      </c>
      <c r="G164" s="18">
        <v>125580</v>
      </c>
      <c r="H164" s="19">
        <f>E164*G164</f>
        <v>2210208</v>
      </c>
    </row>
    <row r="165" spans="1:8" s="31" customFormat="1" ht="18">
      <c r="A165" s="309"/>
      <c r="B165" s="17" t="s">
        <v>33</v>
      </c>
      <c r="C165" s="46">
        <f t="shared" ref="C165:C167" si="33">E165/D165</f>
        <v>3.0472103004291845E-2</v>
      </c>
      <c r="D165" s="17">
        <v>233</v>
      </c>
      <c r="E165" s="51" t="s">
        <v>117</v>
      </c>
      <c r="F165" s="17" t="s">
        <v>1</v>
      </c>
      <c r="G165" s="18">
        <v>67200</v>
      </c>
      <c r="H165" s="19">
        <f>E165*G165</f>
        <v>477120</v>
      </c>
    </row>
    <row r="166" spans="1:8" s="31" customFormat="1" ht="18">
      <c r="A166" s="309"/>
      <c r="B166" s="17" t="s">
        <v>71</v>
      </c>
      <c r="C166" s="46">
        <f t="shared" si="33"/>
        <v>1.2875536480686695E-2</v>
      </c>
      <c r="D166" s="17">
        <v>233</v>
      </c>
      <c r="E166" s="51" t="s">
        <v>43</v>
      </c>
      <c r="F166" s="17" t="s">
        <v>1</v>
      </c>
      <c r="G166" s="18">
        <v>78750</v>
      </c>
      <c r="H166" s="19">
        <f t="shared" ref="H166:H170" si="34">E166*G166</f>
        <v>236250</v>
      </c>
    </row>
    <row r="167" spans="1:8" s="31" customFormat="1" ht="18">
      <c r="A167" s="309"/>
      <c r="B167" s="17" t="s">
        <v>72</v>
      </c>
      <c r="C167" s="46">
        <f t="shared" si="33"/>
        <v>5.5793991416309016E-2</v>
      </c>
      <c r="D167" s="17">
        <v>233</v>
      </c>
      <c r="E167" s="51" t="s">
        <v>73</v>
      </c>
      <c r="F167" s="17" t="s">
        <v>1</v>
      </c>
      <c r="G167" s="18">
        <v>20478</v>
      </c>
      <c r="H167" s="19">
        <f t="shared" si="34"/>
        <v>266214</v>
      </c>
    </row>
    <row r="168" spans="1:8" s="31" customFormat="1" ht="18">
      <c r="A168" s="309"/>
      <c r="B168" s="17" t="s">
        <v>74</v>
      </c>
      <c r="C168" s="46"/>
      <c r="D168" s="17">
        <v>233</v>
      </c>
      <c r="E168" s="51" t="s">
        <v>41</v>
      </c>
      <c r="F168" s="17" t="s">
        <v>1</v>
      </c>
      <c r="G168" s="18">
        <v>68040</v>
      </c>
      <c r="H168" s="19">
        <f t="shared" si="34"/>
        <v>6804</v>
      </c>
    </row>
    <row r="169" spans="1:8" s="31" customFormat="1" ht="18">
      <c r="A169" s="309"/>
      <c r="B169" s="17" t="s">
        <v>61</v>
      </c>
      <c r="C169" s="46"/>
      <c r="D169" s="17">
        <v>233</v>
      </c>
      <c r="E169" s="51" t="s">
        <v>41</v>
      </c>
      <c r="F169" s="17" t="s">
        <v>1</v>
      </c>
      <c r="G169" s="18">
        <v>60900</v>
      </c>
      <c r="H169" s="19">
        <f t="shared" si="34"/>
        <v>6090</v>
      </c>
    </row>
    <row r="170" spans="1:8" s="31" customFormat="1" ht="18">
      <c r="A170" s="309"/>
      <c r="B170" s="17" t="s">
        <v>75</v>
      </c>
      <c r="C170" s="46"/>
      <c r="D170" s="17">
        <v>233</v>
      </c>
      <c r="E170" s="51" t="s">
        <v>41</v>
      </c>
      <c r="F170" s="17" t="s">
        <v>1</v>
      </c>
      <c r="G170" s="18">
        <v>49349</v>
      </c>
      <c r="H170" s="19">
        <f t="shared" si="34"/>
        <v>4934.9000000000005</v>
      </c>
    </row>
    <row r="171" spans="1:8" ht="18">
      <c r="A171" s="2"/>
      <c r="B171" s="3"/>
      <c r="C171" s="48"/>
      <c r="D171" s="2"/>
      <c r="E171" s="63"/>
      <c r="F171" s="5"/>
      <c r="G171" s="2"/>
      <c r="H171" s="26">
        <f>SUM(H163:H170)</f>
        <v>3806015.9</v>
      </c>
    </row>
    <row r="183" spans="1:8" ht="15.6">
      <c r="A183" s="6" t="s">
        <v>0</v>
      </c>
      <c r="B183" s="6"/>
    </row>
    <row r="184" spans="1:8" ht="26.4" customHeight="1">
      <c r="A184" s="302" t="s">
        <v>51</v>
      </c>
      <c r="B184" s="302"/>
      <c r="C184" s="302"/>
      <c r="D184" s="302"/>
      <c r="E184" s="302"/>
      <c r="F184" s="302"/>
      <c r="G184" s="302"/>
      <c r="H184" s="302"/>
    </row>
    <row r="185" spans="1:8" ht="26.4" customHeight="1">
      <c r="A185" s="87"/>
      <c r="B185" s="303" t="s">
        <v>113</v>
      </c>
      <c r="C185" s="303"/>
      <c r="D185" s="303"/>
      <c r="E185" s="303"/>
      <c r="F185" s="303"/>
      <c r="G185" s="303"/>
      <c r="H185" s="303"/>
    </row>
    <row r="186" spans="1:8" ht="40.200000000000003">
      <c r="A186" s="7" t="s">
        <v>14</v>
      </c>
      <c r="B186" s="8" t="s">
        <v>15</v>
      </c>
      <c r="C186" s="9" t="s">
        <v>16</v>
      </c>
      <c r="D186" s="10" t="s">
        <v>17</v>
      </c>
      <c r="E186" s="61" t="s">
        <v>18</v>
      </c>
      <c r="F186" s="11" t="s">
        <v>4</v>
      </c>
      <c r="G186" s="7" t="s">
        <v>19</v>
      </c>
      <c r="H186" s="7" t="s">
        <v>20</v>
      </c>
    </row>
    <row r="187" spans="1:8" ht="18">
      <c r="A187" s="310">
        <v>2</v>
      </c>
      <c r="B187" s="12" t="s">
        <v>21</v>
      </c>
      <c r="C187" s="103">
        <f>E187/D187</f>
        <v>0.11939655172413793</v>
      </c>
      <c r="D187" s="12">
        <v>232</v>
      </c>
      <c r="E187" s="50" t="s">
        <v>112</v>
      </c>
      <c r="F187" s="12" t="s">
        <v>1</v>
      </c>
      <c r="G187" s="13">
        <v>21525</v>
      </c>
      <c r="H187" s="14">
        <f>G187*E187</f>
        <v>596242.5</v>
      </c>
    </row>
    <row r="188" spans="1:8" ht="18">
      <c r="A188" s="311"/>
      <c r="B188" s="17" t="s">
        <v>5</v>
      </c>
      <c r="C188" s="104">
        <f>E188/D188</f>
        <v>6.5236051502145925E-2</v>
      </c>
      <c r="D188" s="17">
        <v>233</v>
      </c>
      <c r="E188" s="51" t="s">
        <v>115</v>
      </c>
      <c r="F188" s="17" t="s">
        <v>1</v>
      </c>
      <c r="G188" s="18">
        <v>136500</v>
      </c>
      <c r="H188" s="19">
        <f>G188*E188</f>
        <v>2074800</v>
      </c>
    </row>
    <row r="189" spans="1:8" ht="18">
      <c r="A189" s="311"/>
      <c r="B189" s="17" t="s">
        <v>31</v>
      </c>
      <c r="C189" s="104">
        <f t="shared" ref="C189:C192" si="35">E189/D189</f>
        <v>3.004291845493562E-3</v>
      </c>
      <c r="D189" s="17">
        <v>233</v>
      </c>
      <c r="E189" s="51" t="s">
        <v>32</v>
      </c>
      <c r="F189" s="17" t="s">
        <v>1</v>
      </c>
      <c r="G189" s="18">
        <v>306600</v>
      </c>
      <c r="H189" s="19">
        <f t="shared" ref="H189:H194" si="36">G189*E189</f>
        <v>214620</v>
      </c>
    </row>
    <row r="190" spans="1:8" ht="18">
      <c r="A190" s="311"/>
      <c r="B190" s="17" t="s">
        <v>33</v>
      </c>
      <c r="C190" s="104">
        <f t="shared" si="35"/>
        <v>3.733905579399141E-2</v>
      </c>
      <c r="D190" s="17">
        <v>233</v>
      </c>
      <c r="E190" s="51" t="s">
        <v>104</v>
      </c>
      <c r="F190" s="17" t="s">
        <v>1</v>
      </c>
      <c r="G190" s="18">
        <v>67200</v>
      </c>
      <c r="H190" s="19">
        <f t="shared" si="36"/>
        <v>584640</v>
      </c>
    </row>
    <row r="191" spans="1:8" ht="18">
      <c r="A191" s="311"/>
      <c r="B191" s="17" t="s">
        <v>5</v>
      </c>
      <c r="C191" s="104">
        <f t="shared" si="35"/>
        <v>4.2918454935622317E-3</v>
      </c>
      <c r="D191" s="17">
        <v>233</v>
      </c>
      <c r="E191" s="44">
        <v>1</v>
      </c>
      <c r="F191" s="17" t="s">
        <v>1</v>
      </c>
      <c r="G191" s="18">
        <v>136500</v>
      </c>
      <c r="H191" s="19">
        <f t="shared" si="36"/>
        <v>136500</v>
      </c>
    </row>
    <row r="192" spans="1:8" ht="18">
      <c r="A192" s="311"/>
      <c r="B192" s="17" t="s">
        <v>70</v>
      </c>
      <c r="C192" s="104">
        <f t="shared" si="35"/>
        <v>3.4334763948497854E-2</v>
      </c>
      <c r="D192" s="17">
        <v>233</v>
      </c>
      <c r="E192" s="44">
        <v>8</v>
      </c>
      <c r="F192" s="17" t="s">
        <v>1</v>
      </c>
      <c r="G192" s="18">
        <v>23100</v>
      </c>
      <c r="H192" s="19">
        <f t="shared" si="36"/>
        <v>184800</v>
      </c>
    </row>
    <row r="193" spans="1:8" ht="18">
      <c r="A193" s="311"/>
      <c r="B193" s="17" t="s">
        <v>11</v>
      </c>
      <c r="C193" s="41"/>
      <c r="D193" s="17">
        <v>233</v>
      </c>
      <c r="E193" s="43" t="s">
        <v>41</v>
      </c>
      <c r="F193" s="17" t="s">
        <v>1</v>
      </c>
      <c r="G193" s="18">
        <v>60900</v>
      </c>
      <c r="H193" s="19">
        <f t="shared" si="36"/>
        <v>6090</v>
      </c>
    </row>
    <row r="194" spans="1:8" ht="18">
      <c r="A194" s="311"/>
      <c r="B194" s="20" t="s">
        <v>36</v>
      </c>
      <c r="C194" s="47"/>
      <c r="D194" s="17">
        <v>233</v>
      </c>
      <c r="E194" s="62" t="s">
        <v>41</v>
      </c>
      <c r="F194" s="17" t="s">
        <v>1</v>
      </c>
      <c r="G194" s="36">
        <v>42000</v>
      </c>
      <c r="H194" s="19">
        <f t="shared" si="36"/>
        <v>4200</v>
      </c>
    </row>
    <row r="195" spans="1:8" ht="18">
      <c r="A195" s="312"/>
      <c r="B195" s="298"/>
      <c r="C195" s="299"/>
      <c r="D195" s="299"/>
      <c r="E195" s="299"/>
      <c r="F195" s="299"/>
      <c r="G195" s="300"/>
      <c r="H195" s="26">
        <f>SUM(H187:H194)</f>
        <v>3801892.5</v>
      </c>
    </row>
    <row r="196" spans="1:8" ht="18">
      <c r="A196" s="310">
        <v>3</v>
      </c>
      <c r="B196" s="12" t="s">
        <v>21</v>
      </c>
      <c r="C196" s="104">
        <f>E196/D196</f>
        <v>0.11931330472103005</v>
      </c>
      <c r="D196" s="17">
        <v>233</v>
      </c>
      <c r="E196" s="50" t="s">
        <v>100</v>
      </c>
      <c r="F196" s="66" t="s">
        <v>1</v>
      </c>
      <c r="G196" s="13">
        <v>21525</v>
      </c>
      <c r="H196" s="14">
        <f>E196*G196</f>
        <v>598395</v>
      </c>
    </row>
    <row r="197" spans="1:8" ht="18">
      <c r="A197" s="311"/>
      <c r="B197" s="37" t="s">
        <v>44</v>
      </c>
      <c r="C197" s="104">
        <f>E197/D197</f>
        <v>3.8197424892703863E-2</v>
      </c>
      <c r="D197" s="17">
        <v>233</v>
      </c>
      <c r="E197" s="55">
        <v>8.9</v>
      </c>
      <c r="F197" s="67" t="s">
        <v>1</v>
      </c>
      <c r="G197" s="18">
        <v>199500</v>
      </c>
      <c r="H197" s="19">
        <f>E197*G197</f>
        <v>1775550</v>
      </c>
    </row>
    <row r="198" spans="1:8" ht="18">
      <c r="A198" s="311"/>
      <c r="B198" s="17" t="s">
        <v>80</v>
      </c>
      <c r="C198" s="104">
        <f t="shared" ref="C198:C202" si="37">E198/D198</f>
        <v>2.3605150214592276E-2</v>
      </c>
      <c r="D198" s="17">
        <v>233</v>
      </c>
      <c r="E198" s="55">
        <v>5.5</v>
      </c>
      <c r="F198" s="67" t="s">
        <v>1</v>
      </c>
      <c r="G198" s="18">
        <v>123900</v>
      </c>
      <c r="H198" s="19">
        <f t="shared" ref="H198:H205" si="38">E198*G198</f>
        <v>681450</v>
      </c>
    </row>
    <row r="199" spans="1:8" ht="18">
      <c r="A199" s="311"/>
      <c r="B199" s="17" t="s">
        <v>5</v>
      </c>
      <c r="C199" s="104">
        <f t="shared" si="37"/>
        <v>4.2918454935622317E-3</v>
      </c>
      <c r="D199" s="17">
        <v>233</v>
      </c>
      <c r="E199" s="54">
        <v>1</v>
      </c>
      <c r="F199" s="67" t="s">
        <v>1</v>
      </c>
      <c r="G199" s="18">
        <v>136500</v>
      </c>
      <c r="H199" s="19">
        <f t="shared" si="38"/>
        <v>136500</v>
      </c>
    </row>
    <row r="200" spans="1:8" ht="18">
      <c r="A200" s="311"/>
      <c r="B200" s="17" t="s">
        <v>8</v>
      </c>
      <c r="C200" s="104">
        <f t="shared" si="37"/>
        <v>4.2918454935622317E-3</v>
      </c>
      <c r="D200" s="17">
        <v>233</v>
      </c>
      <c r="E200" s="56">
        <v>1</v>
      </c>
      <c r="F200" s="67" t="s">
        <v>1</v>
      </c>
      <c r="G200" s="18">
        <v>36720</v>
      </c>
      <c r="H200" s="19">
        <f t="shared" si="38"/>
        <v>36720</v>
      </c>
    </row>
    <row r="201" spans="1:8" ht="18">
      <c r="A201" s="311"/>
      <c r="B201" s="17" t="s">
        <v>45</v>
      </c>
      <c r="C201" s="104">
        <f t="shared" si="37"/>
        <v>6.4377682403433476E-3</v>
      </c>
      <c r="D201" s="17">
        <v>233</v>
      </c>
      <c r="E201" s="56">
        <v>1.5</v>
      </c>
      <c r="F201" s="67" t="s">
        <v>1</v>
      </c>
      <c r="G201" s="18">
        <v>29400</v>
      </c>
      <c r="H201" s="19">
        <f t="shared" si="38"/>
        <v>44100</v>
      </c>
    </row>
    <row r="202" spans="1:8" ht="18">
      <c r="A202" s="311"/>
      <c r="B202" s="17" t="s">
        <v>29</v>
      </c>
      <c r="C202" s="104">
        <f t="shared" si="37"/>
        <v>3.4334763948497854E-2</v>
      </c>
      <c r="D202" s="17">
        <v>233</v>
      </c>
      <c r="E202" s="54">
        <v>8</v>
      </c>
      <c r="F202" s="67" t="s">
        <v>1</v>
      </c>
      <c r="G202" s="18">
        <v>49350</v>
      </c>
      <c r="H202" s="19">
        <f t="shared" si="38"/>
        <v>394800</v>
      </c>
    </row>
    <row r="203" spans="1:8" ht="18">
      <c r="A203" s="311"/>
      <c r="B203" s="17" t="s">
        <v>111</v>
      </c>
      <c r="C203" s="46"/>
      <c r="D203" s="17">
        <v>233</v>
      </c>
      <c r="E203" s="54">
        <v>8</v>
      </c>
      <c r="F203" s="67" t="s">
        <v>1</v>
      </c>
      <c r="G203" s="36">
        <v>18900</v>
      </c>
      <c r="H203" s="19">
        <f t="shared" si="38"/>
        <v>151200</v>
      </c>
    </row>
    <row r="204" spans="1:8" ht="18">
      <c r="A204" s="311"/>
      <c r="B204" s="17" t="s">
        <v>11</v>
      </c>
      <c r="C204" s="74"/>
      <c r="D204" s="17">
        <v>233</v>
      </c>
      <c r="E204" s="56">
        <v>0.1</v>
      </c>
      <c r="F204" s="67" t="s">
        <v>1</v>
      </c>
      <c r="G204" s="18">
        <v>60900</v>
      </c>
      <c r="H204" s="19">
        <f t="shared" si="38"/>
        <v>6090</v>
      </c>
    </row>
    <row r="205" spans="1:8" ht="18">
      <c r="A205" s="311"/>
      <c r="B205" s="17" t="s">
        <v>46</v>
      </c>
      <c r="C205" s="74"/>
      <c r="D205" s="17">
        <v>233</v>
      </c>
      <c r="E205" s="56">
        <v>0.1</v>
      </c>
      <c r="F205" s="67" t="s">
        <v>1</v>
      </c>
      <c r="G205" s="36">
        <v>42000</v>
      </c>
      <c r="H205" s="19">
        <f t="shared" si="38"/>
        <v>4200</v>
      </c>
    </row>
    <row r="206" spans="1:8" ht="18">
      <c r="A206" s="312"/>
      <c r="B206" s="298"/>
      <c r="C206" s="299"/>
      <c r="D206" s="299"/>
      <c r="E206" s="299"/>
      <c r="F206" s="299"/>
      <c r="G206" s="300"/>
      <c r="H206" s="26">
        <f>SUM(H196:H205)</f>
        <v>3829005</v>
      </c>
    </row>
    <row r="207" spans="1:8" ht="18">
      <c r="A207" s="310">
        <v>4</v>
      </c>
      <c r="B207" s="2" t="s">
        <v>21</v>
      </c>
      <c r="C207" s="103">
        <f>E207/D207</f>
        <v>0.11931330472103005</v>
      </c>
      <c r="D207" s="2">
        <v>233</v>
      </c>
      <c r="E207" s="92" t="s">
        <v>100</v>
      </c>
      <c r="F207" s="2" t="s">
        <v>1</v>
      </c>
      <c r="G207" s="4">
        <v>21525</v>
      </c>
      <c r="H207" s="5">
        <f>G207*E207</f>
        <v>598395</v>
      </c>
    </row>
    <row r="208" spans="1:8" ht="18">
      <c r="A208" s="311"/>
      <c r="B208" s="90" t="s">
        <v>58</v>
      </c>
      <c r="C208" s="104">
        <f>E208/D208</f>
        <v>5.1502145922746781E-2</v>
      </c>
      <c r="D208" s="15">
        <v>233</v>
      </c>
      <c r="E208" s="91" t="s">
        <v>101</v>
      </c>
      <c r="F208" s="15" t="s">
        <v>1</v>
      </c>
      <c r="G208" s="83">
        <v>156600</v>
      </c>
      <c r="H208" s="16">
        <f>E208*G208</f>
        <v>1879200</v>
      </c>
    </row>
    <row r="209" spans="1:8" ht="18">
      <c r="A209" s="311"/>
      <c r="B209" s="85" t="s">
        <v>59</v>
      </c>
      <c r="C209" s="104">
        <f t="shared" ref="C209:C212" si="39">E209/D209</f>
        <v>6.0085836909871244E-2</v>
      </c>
      <c r="D209" s="15">
        <v>233</v>
      </c>
      <c r="E209" s="89" t="s">
        <v>64</v>
      </c>
      <c r="F209" s="17" t="s">
        <v>1</v>
      </c>
      <c r="G209" s="71">
        <v>21000</v>
      </c>
      <c r="H209" s="16">
        <f t="shared" ref="H209:H211" si="40">E209*G209</f>
        <v>294000</v>
      </c>
    </row>
    <row r="210" spans="1:8" ht="18">
      <c r="A210" s="311"/>
      <c r="B210" s="84" t="s">
        <v>23</v>
      </c>
      <c r="C210" s="104">
        <f t="shared" si="39"/>
        <v>2.7038626609442059E-2</v>
      </c>
      <c r="D210" s="15">
        <v>233</v>
      </c>
      <c r="E210" s="89" t="s">
        <v>103</v>
      </c>
      <c r="F210" s="17" t="s">
        <v>1</v>
      </c>
      <c r="G210" s="71">
        <v>125580</v>
      </c>
      <c r="H210" s="16">
        <f t="shared" si="40"/>
        <v>791154</v>
      </c>
    </row>
    <row r="211" spans="1:8" ht="18">
      <c r="A211" s="311"/>
      <c r="B211" s="84" t="s">
        <v>5</v>
      </c>
      <c r="C211" s="104">
        <f t="shared" si="39"/>
        <v>4.2918454935622317E-3</v>
      </c>
      <c r="D211" s="15">
        <v>233</v>
      </c>
      <c r="E211" s="89" t="s">
        <v>25</v>
      </c>
      <c r="F211" s="17" t="s">
        <v>1</v>
      </c>
      <c r="G211" s="18">
        <v>136500</v>
      </c>
      <c r="H211" s="16">
        <f t="shared" si="40"/>
        <v>136500</v>
      </c>
    </row>
    <row r="212" spans="1:8" ht="18">
      <c r="A212" s="311"/>
      <c r="B212" s="84" t="s">
        <v>108</v>
      </c>
      <c r="C212" s="104">
        <f t="shared" si="39"/>
        <v>2.4034334763948496E-2</v>
      </c>
      <c r="D212" s="15">
        <v>233</v>
      </c>
      <c r="E212" s="43" t="s">
        <v>109</v>
      </c>
      <c r="F212" s="17" t="s">
        <v>1</v>
      </c>
      <c r="G212" s="18">
        <v>19950</v>
      </c>
      <c r="H212" s="16">
        <f>E212*G212-1470</f>
        <v>110250</v>
      </c>
    </row>
    <row r="213" spans="1:8" ht="18">
      <c r="A213" s="311"/>
      <c r="B213" s="17" t="s">
        <v>107</v>
      </c>
      <c r="C213" s="65"/>
      <c r="D213" s="15">
        <v>233</v>
      </c>
      <c r="E213" s="100">
        <v>0.1</v>
      </c>
      <c r="F213" s="17" t="s">
        <v>1</v>
      </c>
      <c r="G213" s="19">
        <v>60900</v>
      </c>
      <c r="H213" s="16">
        <f t="shared" ref="H213:H215" si="41">E213*G213</f>
        <v>6090</v>
      </c>
    </row>
    <row r="214" spans="1:8" ht="18">
      <c r="A214" s="311"/>
      <c r="B214" s="84" t="s">
        <v>74</v>
      </c>
      <c r="C214" s="65"/>
      <c r="D214" s="15">
        <v>233</v>
      </c>
      <c r="E214" s="62" t="s">
        <v>41</v>
      </c>
      <c r="F214" s="17" t="s">
        <v>1</v>
      </c>
      <c r="G214" s="36">
        <v>68040</v>
      </c>
      <c r="H214" s="16">
        <f t="shared" si="41"/>
        <v>6804</v>
      </c>
    </row>
    <row r="215" spans="1:8" ht="18">
      <c r="A215" s="311"/>
      <c r="B215" s="84" t="s">
        <v>114</v>
      </c>
      <c r="C215" s="47"/>
      <c r="D215" s="17">
        <v>233</v>
      </c>
      <c r="E215" s="62" t="s">
        <v>41</v>
      </c>
      <c r="F215" s="17" t="s">
        <v>1</v>
      </c>
      <c r="G215" s="36">
        <v>42000</v>
      </c>
      <c r="H215" s="16">
        <f t="shared" si="41"/>
        <v>4200</v>
      </c>
    </row>
    <row r="216" spans="1:8" ht="18">
      <c r="A216" s="311"/>
      <c r="B216" s="17"/>
      <c r="C216" s="41"/>
      <c r="D216" s="20"/>
      <c r="E216" s="27"/>
      <c r="F216" s="27"/>
      <c r="G216" s="18"/>
      <c r="H216" s="28">
        <f>SUM(H207:H215)</f>
        <v>3826593</v>
      </c>
    </row>
    <row r="217" spans="1:8" s="31" customFormat="1" ht="18">
      <c r="A217" s="308">
        <v>5</v>
      </c>
      <c r="B217" s="12" t="s">
        <v>21</v>
      </c>
      <c r="C217" s="103">
        <f>E217/D217</f>
        <v>0.11931330472103005</v>
      </c>
      <c r="D217" s="2">
        <v>233</v>
      </c>
      <c r="E217" s="50" t="s">
        <v>100</v>
      </c>
      <c r="F217" s="2" t="s">
        <v>1</v>
      </c>
      <c r="G217" s="4">
        <v>21525</v>
      </c>
      <c r="H217" s="5">
        <f>G217*E217</f>
        <v>598395</v>
      </c>
    </row>
    <row r="218" spans="1:8" s="31" customFormat="1" ht="18">
      <c r="A218" s="309"/>
      <c r="B218" s="17" t="s">
        <v>80</v>
      </c>
      <c r="C218" s="104">
        <f>E218/D218</f>
        <v>7.5965665236051499E-2</v>
      </c>
      <c r="D218" s="15">
        <v>233</v>
      </c>
      <c r="E218" s="55">
        <v>17.7</v>
      </c>
      <c r="F218" s="15" t="s">
        <v>1</v>
      </c>
      <c r="G218" s="83">
        <v>125580</v>
      </c>
      <c r="H218" s="16">
        <f>E218*G218</f>
        <v>2222766</v>
      </c>
    </row>
    <row r="219" spans="1:8" s="31" customFormat="1" ht="18">
      <c r="A219" s="309"/>
      <c r="B219" s="17" t="s">
        <v>33</v>
      </c>
      <c r="C219" s="104">
        <f t="shared" ref="C219:C222" si="42">E219/D219</f>
        <v>3.0901287553648068E-2</v>
      </c>
      <c r="D219" s="15">
        <v>233</v>
      </c>
      <c r="E219" s="51" t="s">
        <v>97</v>
      </c>
      <c r="F219" s="17" t="s">
        <v>1</v>
      </c>
      <c r="G219" s="71">
        <v>67200</v>
      </c>
      <c r="H219" s="16">
        <f t="shared" ref="H219:H221" si="43">E219*G219</f>
        <v>483840</v>
      </c>
    </row>
    <row r="220" spans="1:8" s="31" customFormat="1" ht="18">
      <c r="A220" s="309"/>
      <c r="B220" s="17" t="s">
        <v>71</v>
      </c>
      <c r="C220" s="104">
        <f t="shared" si="42"/>
        <v>1.2875536480686695E-2</v>
      </c>
      <c r="D220" s="15">
        <v>233</v>
      </c>
      <c r="E220" s="51" t="s">
        <v>43</v>
      </c>
      <c r="F220" s="17" t="s">
        <v>1</v>
      </c>
      <c r="G220" s="71">
        <v>78750</v>
      </c>
      <c r="H220" s="16">
        <f t="shared" si="43"/>
        <v>236250</v>
      </c>
    </row>
    <row r="221" spans="1:8" s="31" customFormat="1" ht="18">
      <c r="A221" s="309"/>
      <c r="B221" s="17" t="s">
        <v>72</v>
      </c>
      <c r="C221" s="104">
        <f t="shared" si="42"/>
        <v>5.5793991416309016E-2</v>
      </c>
      <c r="D221" s="15">
        <v>233</v>
      </c>
      <c r="E221" s="51" t="s">
        <v>73</v>
      </c>
      <c r="F221" s="17" t="s">
        <v>1</v>
      </c>
      <c r="G221" s="18">
        <v>20478</v>
      </c>
      <c r="H221" s="16">
        <f t="shared" si="43"/>
        <v>266214</v>
      </c>
    </row>
    <row r="222" spans="1:8" s="31" customFormat="1" ht="18">
      <c r="A222" s="309"/>
      <c r="B222" s="17" t="s">
        <v>74</v>
      </c>
      <c r="C222" s="104">
        <f t="shared" si="42"/>
        <v>4.2918454935622321E-4</v>
      </c>
      <c r="D222" s="15">
        <v>233</v>
      </c>
      <c r="E222" s="51" t="s">
        <v>41</v>
      </c>
      <c r="F222" s="17" t="s">
        <v>1</v>
      </c>
      <c r="G222" s="18">
        <v>68040</v>
      </c>
      <c r="H222" s="16">
        <f>E222*G222</f>
        <v>6804</v>
      </c>
    </row>
    <row r="223" spans="1:8" s="31" customFormat="1" ht="18">
      <c r="A223" s="309"/>
      <c r="B223" s="17" t="s">
        <v>61</v>
      </c>
      <c r="C223" s="65"/>
      <c r="D223" s="15">
        <v>233</v>
      </c>
      <c r="E223" s="51" t="s">
        <v>41</v>
      </c>
      <c r="F223" s="17" t="s">
        <v>1</v>
      </c>
      <c r="G223" s="19">
        <v>60900</v>
      </c>
      <c r="H223" s="16">
        <f t="shared" ref="H223:H224" si="44">E223*G223</f>
        <v>6090</v>
      </c>
    </row>
    <row r="224" spans="1:8" s="31" customFormat="1" ht="18">
      <c r="A224" s="309"/>
      <c r="B224" s="17" t="s">
        <v>114</v>
      </c>
      <c r="C224" s="65"/>
      <c r="D224" s="15">
        <v>233</v>
      </c>
      <c r="E224" s="51" t="s">
        <v>41</v>
      </c>
      <c r="F224" s="17" t="s">
        <v>1</v>
      </c>
      <c r="G224" s="36">
        <v>49350</v>
      </c>
      <c r="H224" s="16">
        <f t="shared" si="44"/>
        <v>4935</v>
      </c>
    </row>
    <row r="225" spans="1:8" s="31" customFormat="1" ht="18">
      <c r="A225" s="76"/>
      <c r="B225" s="77"/>
      <c r="C225" s="78"/>
      <c r="D225" s="78"/>
      <c r="E225" s="79"/>
      <c r="F225" s="78"/>
      <c r="G225" s="80"/>
      <c r="H225" s="81">
        <f>SUM(H217:H224)</f>
        <v>3825294</v>
      </c>
    </row>
    <row r="226" spans="1:8" s="31" customFormat="1" ht="18">
      <c r="A226" s="308">
        <v>6</v>
      </c>
      <c r="B226" s="101" t="s">
        <v>10</v>
      </c>
      <c r="C226" s="104">
        <f>E226/D226</f>
        <v>0.11931330472103005</v>
      </c>
      <c r="D226" s="101">
        <v>233</v>
      </c>
      <c r="E226" s="101">
        <v>27.8</v>
      </c>
      <c r="F226" s="101" t="s">
        <v>1</v>
      </c>
      <c r="G226" s="102">
        <v>21525</v>
      </c>
      <c r="H226" s="38">
        <f>E226*G226</f>
        <v>598395</v>
      </c>
    </row>
    <row r="227" spans="1:8" s="31" customFormat="1" ht="18">
      <c r="A227" s="309"/>
      <c r="B227" s="17" t="s">
        <v>37</v>
      </c>
      <c r="C227" s="104">
        <f>E227/D227</f>
        <v>6.1373390557939916E-2</v>
      </c>
      <c r="D227" s="17">
        <v>233</v>
      </c>
      <c r="E227" s="17">
        <v>14.3</v>
      </c>
      <c r="F227" s="17" t="s">
        <v>3</v>
      </c>
      <c r="G227" s="18">
        <v>162000</v>
      </c>
      <c r="H227" s="19">
        <f>E227*G227</f>
        <v>2316600</v>
      </c>
    </row>
    <row r="228" spans="1:8" s="31" customFormat="1" ht="18">
      <c r="A228" s="309"/>
      <c r="B228" s="17" t="s">
        <v>38</v>
      </c>
      <c r="C228" s="104">
        <f t="shared" ref="C228:C230" si="45">E228/D228</f>
        <v>0.55793991416309008</v>
      </c>
      <c r="D228" s="17">
        <v>233</v>
      </c>
      <c r="E228" s="17">
        <v>130</v>
      </c>
      <c r="F228" s="17" t="s">
        <v>2</v>
      </c>
      <c r="G228" s="18">
        <v>3456</v>
      </c>
      <c r="H228" s="19">
        <f t="shared" ref="H228:H232" si="46">E228*G228</f>
        <v>449280</v>
      </c>
    </row>
    <row r="229" spans="1:8" s="31" customFormat="1" ht="18">
      <c r="A229" s="309"/>
      <c r="B229" s="17" t="s">
        <v>39</v>
      </c>
      <c r="C229" s="104">
        <f t="shared" si="45"/>
        <v>2.1459227467811159E-2</v>
      </c>
      <c r="D229" s="17">
        <v>233</v>
      </c>
      <c r="E229" s="17">
        <v>5</v>
      </c>
      <c r="F229" s="17" t="s">
        <v>1</v>
      </c>
      <c r="G229" s="18">
        <v>31500</v>
      </c>
      <c r="H229" s="19">
        <f t="shared" si="46"/>
        <v>157500</v>
      </c>
    </row>
    <row r="230" spans="1:8" s="31" customFormat="1" ht="18">
      <c r="A230" s="309"/>
      <c r="B230" s="17" t="s">
        <v>12</v>
      </c>
      <c r="C230" s="104">
        <f t="shared" si="45"/>
        <v>4.2918454935622317E-3</v>
      </c>
      <c r="D230" s="17">
        <v>233</v>
      </c>
      <c r="E230" s="17">
        <v>1</v>
      </c>
      <c r="F230" s="17" t="s">
        <v>1</v>
      </c>
      <c r="G230" s="18">
        <v>173250</v>
      </c>
      <c r="H230" s="19">
        <f t="shared" si="46"/>
        <v>173250</v>
      </c>
    </row>
    <row r="231" spans="1:8" s="31" customFormat="1" ht="18">
      <c r="A231" s="309"/>
      <c r="B231" s="17" t="s">
        <v>110</v>
      </c>
      <c r="C231" s="46"/>
      <c r="D231" s="17">
        <v>233</v>
      </c>
      <c r="E231" s="17">
        <v>6.4</v>
      </c>
      <c r="F231" s="17" t="s">
        <v>1</v>
      </c>
      <c r="G231" s="18">
        <v>18900</v>
      </c>
      <c r="H231" s="19">
        <f t="shared" si="46"/>
        <v>120960</v>
      </c>
    </row>
    <row r="232" spans="1:8" s="31" customFormat="1" ht="18">
      <c r="A232" s="309"/>
      <c r="B232" s="17" t="s">
        <v>11</v>
      </c>
      <c r="C232" s="46"/>
      <c r="D232" s="17"/>
      <c r="E232" s="17">
        <v>0.1</v>
      </c>
      <c r="F232" s="17" t="s">
        <v>1</v>
      </c>
      <c r="G232" s="18">
        <v>60900</v>
      </c>
      <c r="H232" s="19">
        <f t="shared" si="46"/>
        <v>6090</v>
      </c>
    </row>
    <row r="233" spans="1:8" s="31" customFormat="1" ht="18">
      <c r="A233" s="309"/>
      <c r="B233" s="17" t="s">
        <v>36</v>
      </c>
      <c r="C233" s="46"/>
      <c r="D233" s="17"/>
      <c r="E233" s="18">
        <v>0.1</v>
      </c>
      <c r="F233" s="17" t="s">
        <v>1</v>
      </c>
      <c r="G233" s="18">
        <v>42000</v>
      </c>
      <c r="H233" s="19">
        <v>4200</v>
      </c>
    </row>
    <row r="234" spans="1:8" ht="18">
      <c r="A234" s="2"/>
      <c r="B234" s="3"/>
      <c r="C234" s="48"/>
      <c r="D234" s="2"/>
      <c r="E234" s="63"/>
      <c r="F234" s="5"/>
      <c r="G234" s="2"/>
      <c r="H234" s="26">
        <f>SUM(H226:H233)</f>
        <v>3826275</v>
      </c>
    </row>
    <row r="274" spans="1:8" ht="15.6">
      <c r="A274" s="6" t="s">
        <v>0</v>
      </c>
      <c r="B274" s="6"/>
    </row>
    <row r="275" spans="1:8" ht="26.4" customHeight="1">
      <c r="A275" s="302" t="s">
        <v>51</v>
      </c>
      <c r="B275" s="302"/>
      <c r="C275" s="302"/>
      <c r="D275" s="302"/>
      <c r="E275" s="302"/>
      <c r="F275" s="302"/>
      <c r="G275" s="302"/>
      <c r="H275" s="302"/>
    </row>
    <row r="276" spans="1:8" ht="26.4" customHeight="1">
      <c r="A276" s="87"/>
      <c r="B276" s="303" t="s">
        <v>106</v>
      </c>
      <c r="C276" s="303"/>
      <c r="D276" s="303"/>
      <c r="E276" s="303"/>
      <c r="F276" s="303"/>
      <c r="G276" s="303"/>
      <c r="H276" s="303"/>
    </row>
    <row r="277" spans="1:8" ht="40.200000000000003">
      <c r="A277" s="7" t="s">
        <v>14</v>
      </c>
      <c r="B277" s="8" t="s">
        <v>15</v>
      </c>
      <c r="C277" s="9" t="s">
        <v>16</v>
      </c>
      <c r="D277" s="10" t="s">
        <v>17</v>
      </c>
      <c r="E277" s="61" t="s">
        <v>18</v>
      </c>
      <c r="F277" s="11" t="s">
        <v>4</v>
      </c>
      <c r="G277" s="7" t="s">
        <v>19</v>
      </c>
      <c r="H277" s="7" t="s">
        <v>20</v>
      </c>
    </row>
    <row r="278" spans="1:8" ht="18">
      <c r="A278" s="310">
        <v>2</v>
      </c>
      <c r="B278" s="2" t="s">
        <v>21</v>
      </c>
      <c r="C278" s="103">
        <f>E278/D278</f>
        <v>0.11931330472103005</v>
      </c>
      <c r="D278" s="2">
        <v>233</v>
      </c>
      <c r="E278" s="92" t="s">
        <v>100</v>
      </c>
      <c r="F278" s="2" t="s">
        <v>1</v>
      </c>
      <c r="G278" s="4">
        <v>21525</v>
      </c>
      <c r="H278" s="5">
        <f>G278*E278</f>
        <v>598395</v>
      </c>
    </row>
    <row r="279" spans="1:8" ht="18">
      <c r="A279" s="311"/>
      <c r="B279" s="90" t="s">
        <v>58</v>
      </c>
      <c r="C279" s="104">
        <f>E279/D279</f>
        <v>5.1502145922746781E-2</v>
      </c>
      <c r="D279" s="15">
        <v>233</v>
      </c>
      <c r="E279" s="91" t="s">
        <v>101</v>
      </c>
      <c r="F279" s="15" t="s">
        <v>1</v>
      </c>
      <c r="G279" s="83">
        <v>156600</v>
      </c>
      <c r="H279" s="16">
        <f>E279*G279</f>
        <v>1879200</v>
      </c>
    </row>
    <row r="280" spans="1:8" ht="18">
      <c r="A280" s="311"/>
      <c r="B280" s="85" t="s">
        <v>59</v>
      </c>
      <c r="C280" s="104">
        <f t="shared" ref="C280:C283" si="47">E280/D280</f>
        <v>6.1802575107296136E-2</v>
      </c>
      <c r="D280" s="15">
        <v>233</v>
      </c>
      <c r="E280" s="89" t="s">
        <v>102</v>
      </c>
      <c r="F280" s="17" t="s">
        <v>1</v>
      </c>
      <c r="G280" s="71">
        <v>21000</v>
      </c>
      <c r="H280" s="16">
        <f t="shared" ref="H280:H286" si="48">E280*G280</f>
        <v>302400</v>
      </c>
    </row>
    <row r="281" spans="1:8" ht="18">
      <c r="A281" s="311"/>
      <c r="B281" s="84" t="s">
        <v>23</v>
      </c>
      <c r="C281" s="104">
        <f t="shared" si="47"/>
        <v>2.7038626609442059E-2</v>
      </c>
      <c r="D281" s="15">
        <v>233</v>
      </c>
      <c r="E281" s="89" t="s">
        <v>103</v>
      </c>
      <c r="F281" s="17" t="s">
        <v>1</v>
      </c>
      <c r="G281" s="71">
        <v>125580</v>
      </c>
      <c r="H281" s="16">
        <f t="shared" si="48"/>
        <v>791154</v>
      </c>
    </row>
    <row r="282" spans="1:8" ht="18">
      <c r="A282" s="311"/>
      <c r="B282" s="84" t="s">
        <v>5</v>
      </c>
      <c r="C282" s="104">
        <f t="shared" si="47"/>
        <v>4.2918454935622317E-3</v>
      </c>
      <c r="D282" s="15">
        <v>233</v>
      </c>
      <c r="E282" s="89" t="s">
        <v>25</v>
      </c>
      <c r="F282" s="17" t="s">
        <v>1</v>
      </c>
      <c r="G282" s="18">
        <v>136500</v>
      </c>
      <c r="H282" s="16">
        <f t="shared" si="48"/>
        <v>136500</v>
      </c>
    </row>
    <row r="283" spans="1:8" ht="18">
      <c r="A283" s="311"/>
      <c r="B283" s="84" t="s">
        <v>108</v>
      </c>
      <c r="C283" s="104">
        <f t="shared" si="47"/>
        <v>2.4034334763948496E-2</v>
      </c>
      <c r="D283" s="15">
        <v>233</v>
      </c>
      <c r="E283" s="43" t="s">
        <v>109</v>
      </c>
      <c r="F283" s="17" t="s">
        <v>1</v>
      </c>
      <c r="G283" s="18">
        <v>19950</v>
      </c>
      <c r="H283" s="16">
        <f>E283*G283-1470</f>
        <v>110250</v>
      </c>
    </row>
    <row r="284" spans="1:8" ht="18">
      <c r="A284" s="311"/>
      <c r="B284" s="17" t="s">
        <v>107</v>
      </c>
      <c r="C284" s="65"/>
      <c r="D284" s="15">
        <v>233</v>
      </c>
      <c r="E284" s="100">
        <v>0.1</v>
      </c>
      <c r="F284" s="17" t="s">
        <v>1</v>
      </c>
      <c r="G284" s="19">
        <v>60900</v>
      </c>
      <c r="H284" s="16">
        <f t="shared" si="48"/>
        <v>6090</v>
      </c>
    </row>
    <row r="285" spans="1:8" ht="18">
      <c r="A285" s="311"/>
      <c r="B285" s="84" t="s">
        <v>74</v>
      </c>
      <c r="C285" s="65"/>
      <c r="D285" s="15">
        <v>233</v>
      </c>
      <c r="E285" s="62" t="s">
        <v>41</v>
      </c>
      <c r="F285" s="17" t="s">
        <v>1</v>
      </c>
      <c r="G285" s="36">
        <v>68040</v>
      </c>
      <c r="H285" s="16">
        <f t="shared" si="48"/>
        <v>6804</v>
      </c>
    </row>
    <row r="286" spans="1:8" ht="18">
      <c r="A286" s="311"/>
      <c r="B286" s="84" t="s">
        <v>62</v>
      </c>
      <c r="C286" s="47"/>
      <c r="D286" s="17">
        <v>233</v>
      </c>
      <c r="E286" s="62" t="s">
        <v>41</v>
      </c>
      <c r="F286" s="17" t="s">
        <v>1</v>
      </c>
      <c r="G286" s="36">
        <v>42000</v>
      </c>
      <c r="H286" s="16">
        <f t="shared" si="48"/>
        <v>4200</v>
      </c>
    </row>
    <row r="287" spans="1:8" ht="18">
      <c r="A287" s="312"/>
      <c r="B287" s="298"/>
      <c r="C287" s="299"/>
      <c r="D287" s="299"/>
      <c r="E287" s="299"/>
      <c r="F287" s="299"/>
      <c r="G287" s="300"/>
      <c r="H287" s="26">
        <f>SUM(H278:H286)</f>
        <v>3834993</v>
      </c>
    </row>
    <row r="288" spans="1:8" ht="18">
      <c r="A288" s="310">
        <v>3</v>
      </c>
      <c r="B288" s="12" t="s">
        <v>21</v>
      </c>
      <c r="C288" s="103">
        <f>E288/D288</f>
        <v>0.11931330472103005</v>
      </c>
      <c r="D288" s="12">
        <v>233</v>
      </c>
      <c r="E288" s="50" t="s">
        <v>100</v>
      </c>
      <c r="F288" s="12" t="s">
        <v>1</v>
      </c>
      <c r="G288" s="13">
        <v>21525</v>
      </c>
      <c r="H288" s="14">
        <f>G288*E288</f>
        <v>598395</v>
      </c>
    </row>
    <row r="289" spans="1:8" ht="18">
      <c r="A289" s="311"/>
      <c r="B289" s="17" t="s">
        <v>5</v>
      </c>
      <c r="C289" s="104">
        <f>E289/D289</f>
        <v>6.5665236051502152E-2</v>
      </c>
      <c r="D289" s="17">
        <v>233</v>
      </c>
      <c r="E289" s="51" t="s">
        <v>105</v>
      </c>
      <c r="F289" s="17" t="s">
        <v>1</v>
      </c>
      <c r="G289" s="18">
        <v>136500</v>
      </c>
      <c r="H289" s="19">
        <f>G289*E289</f>
        <v>2088450</v>
      </c>
    </row>
    <row r="290" spans="1:8" ht="18">
      <c r="A290" s="311"/>
      <c r="B290" s="17" t="s">
        <v>31</v>
      </c>
      <c r="C290" s="104">
        <f t="shared" ref="C290:C293" si="49">E290/D290</f>
        <v>3.004291845493562E-3</v>
      </c>
      <c r="D290" s="17">
        <v>233</v>
      </c>
      <c r="E290" s="51" t="s">
        <v>32</v>
      </c>
      <c r="F290" s="17" t="s">
        <v>1</v>
      </c>
      <c r="G290" s="18">
        <v>306600</v>
      </c>
      <c r="H290" s="19">
        <f t="shared" ref="H290:H295" si="50">G290*E290</f>
        <v>214620</v>
      </c>
    </row>
    <row r="291" spans="1:8" ht="18">
      <c r="A291" s="311"/>
      <c r="B291" s="17" t="s">
        <v>33</v>
      </c>
      <c r="C291" s="104">
        <f t="shared" si="49"/>
        <v>3.733905579399141E-2</v>
      </c>
      <c r="D291" s="17">
        <v>233</v>
      </c>
      <c r="E291" s="51" t="s">
        <v>104</v>
      </c>
      <c r="F291" s="17" t="s">
        <v>1</v>
      </c>
      <c r="G291" s="18">
        <v>67200</v>
      </c>
      <c r="H291" s="19">
        <f t="shared" si="50"/>
        <v>584640</v>
      </c>
    </row>
    <row r="292" spans="1:8" ht="18">
      <c r="A292" s="311"/>
      <c r="B292" s="17" t="s">
        <v>5</v>
      </c>
      <c r="C292" s="104">
        <f t="shared" si="49"/>
        <v>4.2918454935622317E-3</v>
      </c>
      <c r="D292" s="17">
        <v>233</v>
      </c>
      <c r="E292" s="44">
        <v>1</v>
      </c>
      <c r="F292" s="17" t="s">
        <v>1</v>
      </c>
      <c r="G292" s="18">
        <v>136500</v>
      </c>
      <c r="H292" s="19">
        <f t="shared" si="50"/>
        <v>136500</v>
      </c>
    </row>
    <row r="293" spans="1:8" ht="18">
      <c r="A293" s="311"/>
      <c r="B293" s="17" t="s">
        <v>70</v>
      </c>
      <c r="C293" s="104">
        <f t="shared" si="49"/>
        <v>3.4334763948497854E-2</v>
      </c>
      <c r="D293" s="17">
        <v>233</v>
      </c>
      <c r="E293" s="44">
        <v>8</v>
      </c>
      <c r="F293" s="17" t="s">
        <v>1</v>
      </c>
      <c r="G293" s="18">
        <v>23100</v>
      </c>
      <c r="H293" s="19">
        <f t="shared" si="50"/>
        <v>184800</v>
      </c>
    </row>
    <row r="294" spans="1:8" ht="18">
      <c r="A294" s="311"/>
      <c r="B294" s="17" t="s">
        <v>11</v>
      </c>
      <c r="C294" s="41"/>
      <c r="D294" s="17">
        <v>233</v>
      </c>
      <c r="E294" s="43" t="s">
        <v>41</v>
      </c>
      <c r="F294" s="17" t="s">
        <v>1</v>
      </c>
      <c r="G294" s="18">
        <v>60900</v>
      </c>
      <c r="H294" s="19">
        <f t="shared" si="50"/>
        <v>6090</v>
      </c>
    </row>
    <row r="295" spans="1:8" ht="18">
      <c r="A295" s="311"/>
      <c r="B295" s="20" t="s">
        <v>36</v>
      </c>
      <c r="C295" s="47"/>
      <c r="D295" s="17">
        <v>233</v>
      </c>
      <c r="E295" s="62" t="s">
        <v>41</v>
      </c>
      <c r="F295" s="17" t="s">
        <v>1</v>
      </c>
      <c r="G295" s="36">
        <v>42000</v>
      </c>
      <c r="H295" s="19">
        <f t="shared" si="50"/>
        <v>4200</v>
      </c>
    </row>
    <row r="296" spans="1:8" ht="18">
      <c r="A296" s="312"/>
      <c r="B296" s="298"/>
      <c r="C296" s="299"/>
      <c r="D296" s="299"/>
      <c r="E296" s="299"/>
      <c r="F296" s="299"/>
      <c r="G296" s="300"/>
      <c r="H296" s="26">
        <f>SUM(H288:H295)</f>
        <v>3817695</v>
      </c>
    </row>
    <row r="297" spans="1:8" ht="18">
      <c r="A297" s="310">
        <v>4</v>
      </c>
      <c r="B297" s="101" t="s">
        <v>10</v>
      </c>
      <c r="C297" s="104">
        <f>E297/D297</f>
        <v>0.11931330472103005</v>
      </c>
      <c r="D297" s="101">
        <v>233</v>
      </c>
      <c r="E297" s="101">
        <v>27.8</v>
      </c>
      <c r="F297" s="101" t="s">
        <v>1</v>
      </c>
      <c r="G297" s="102">
        <v>21525</v>
      </c>
      <c r="H297" s="38">
        <f>E297*G297</f>
        <v>598395</v>
      </c>
    </row>
    <row r="298" spans="1:8" ht="18">
      <c r="A298" s="311"/>
      <c r="B298" s="17" t="s">
        <v>37</v>
      </c>
      <c r="C298" s="104">
        <f>E298/D298</f>
        <v>6.1373390557939916E-2</v>
      </c>
      <c r="D298" s="17">
        <v>233</v>
      </c>
      <c r="E298" s="17">
        <v>14.3</v>
      </c>
      <c r="F298" s="17" t="s">
        <v>3</v>
      </c>
      <c r="G298" s="18">
        <v>162000</v>
      </c>
      <c r="H298" s="19">
        <f>E298*G298</f>
        <v>2316600</v>
      </c>
    </row>
    <row r="299" spans="1:8" ht="18">
      <c r="A299" s="311"/>
      <c r="B299" s="17" t="s">
        <v>38</v>
      </c>
      <c r="C299" s="104">
        <f t="shared" ref="C299:C301" si="51">E299/D299</f>
        <v>0.55793991416309008</v>
      </c>
      <c r="D299" s="17">
        <v>233</v>
      </c>
      <c r="E299" s="17">
        <v>130</v>
      </c>
      <c r="F299" s="17" t="s">
        <v>2</v>
      </c>
      <c r="G299" s="18">
        <v>3456</v>
      </c>
      <c r="H299" s="19">
        <f t="shared" ref="H299:H303" si="52">E299*G299</f>
        <v>449280</v>
      </c>
    </row>
    <row r="300" spans="1:8" ht="18">
      <c r="A300" s="311"/>
      <c r="B300" s="17" t="s">
        <v>39</v>
      </c>
      <c r="C300" s="104">
        <f t="shared" si="51"/>
        <v>2.1459227467811159E-2</v>
      </c>
      <c r="D300" s="17">
        <v>233</v>
      </c>
      <c r="E300" s="17">
        <v>5</v>
      </c>
      <c r="F300" s="17" t="s">
        <v>1</v>
      </c>
      <c r="G300" s="18">
        <v>31500</v>
      </c>
      <c r="H300" s="19">
        <f t="shared" si="52"/>
        <v>157500</v>
      </c>
    </row>
    <row r="301" spans="1:8" ht="18">
      <c r="A301" s="311"/>
      <c r="B301" s="17" t="s">
        <v>12</v>
      </c>
      <c r="C301" s="104">
        <f t="shared" si="51"/>
        <v>4.2918454935622317E-3</v>
      </c>
      <c r="D301" s="17">
        <v>233</v>
      </c>
      <c r="E301" s="17">
        <v>1</v>
      </c>
      <c r="F301" s="17" t="s">
        <v>1</v>
      </c>
      <c r="G301" s="18">
        <v>173250</v>
      </c>
      <c r="H301" s="19">
        <f t="shared" si="52"/>
        <v>173250</v>
      </c>
    </row>
    <row r="302" spans="1:8" ht="18">
      <c r="A302" s="311"/>
      <c r="B302" s="17" t="s">
        <v>110</v>
      </c>
      <c r="C302" s="46"/>
      <c r="D302" s="17">
        <v>233</v>
      </c>
      <c r="E302" s="17">
        <v>6</v>
      </c>
      <c r="F302" s="17" t="s">
        <v>1</v>
      </c>
      <c r="G302" s="18">
        <v>18900</v>
      </c>
      <c r="H302" s="19">
        <f t="shared" si="52"/>
        <v>113400</v>
      </c>
    </row>
    <row r="303" spans="1:8" ht="18">
      <c r="A303" s="311"/>
      <c r="B303" s="17" t="s">
        <v>11</v>
      </c>
      <c r="C303" s="46"/>
      <c r="D303" s="17"/>
      <c r="E303" s="17">
        <v>0.1</v>
      </c>
      <c r="F303" s="17" t="s">
        <v>1</v>
      </c>
      <c r="G303" s="18">
        <v>60900</v>
      </c>
      <c r="H303" s="19">
        <f t="shared" si="52"/>
        <v>6090</v>
      </c>
    </row>
    <row r="304" spans="1:8" ht="18">
      <c r="A304" s="311"/>
      <c r="B304" s="17" t="s">
        <v>36</v>
      </c>
      <c r="C304" s="46"/>
      <c r="D304" s="17"/>
      <c r="E304" s="18">
        <v>0.1</v>
      </c>
      <c r="F304" s="17" t="s">
        <v>1</v>
      </c>
      <c r="G304" s="18">
        <v>42000</v>
      </c>
      <c r="H304" s="19">
        <v>4200</v>
      </c>
    </row>
    <row r="305" spans="1:8" ht="18">
      <c r="A305" s="311"/>
      <c r="B305" s="17"/>
      <c r="C305" s="41"/>
      <c r="D305" s="20"/>
      <c r="E305" s="27"/>
      <c r="F305" s="27"/>
      <c r="G305" s="18"/>
      <c r="H305" s="28">
        <f>SUM(H297:H304)</f>
        <v>3818715</v>
      </c>
    </row>
    <row r="306" spans="1:8" s="31" customFormat="1" ht="18">
      <c r="A306" s="308">
        <v>5</v>
      </c>
      <c r="B306" s="12" t="s">
        <v>21</v>
      </c>
      <c r="C306" s="104">
        <f>E306/D306</f>
        <v>0.11931330472103005</v>
      </c>
      <c r="D306" s="17">
        <v>233</v>
      </c>
      <c r="E306" s="50" t="s">
        <v>100</v>
      </c>
      <c r="F306" s="66" t="s">
        <v>1</v>
      </c>
      <c r="G306" s="13">
        <v>21525</v>
      </c>
      <c r="H306" s="14">
        <f>E306*G306</f>
        <v>598395</v>
      </c>
    </row>
    <row r="307" spans="1:8" s="31" customFormat="1" ht="18">
      <c r="A307" s="309"/>
      <c r="B307" s="37" t="s">
        <v>44</v>
      </c>
      <c r="C307" s="104">
        <f>E307/D307</f>
        <v>3.8197424892703863E-2</v>
      </c>
      <c r="D307" s="17">
        <v>233</v>
      </c>
      <c r="E307" s="55">
        <v>8.9</v>
      </c>
      <c r="F307" s="67" t="s">
        <v>1</v>
      </c>
      <c r="G307" s="18">
        <v>199500</v>
      </c>
      <c r="H307" s="19">
        <f>E307*G307</f>
        <v>1775550</v>
      </c>
    </row>
    <row r="308" spans="1:8" s="31" customFormat="1" ht="18">
      <c r="A308" s="309"/>
      <c r="B308" s="17" t="s">
        <v>80</v>
      </c>
      <c r="C308" s="104">
        <f t="shared" ref="C308:C312" si="53">E308/D308</f>
        <v>2.3605150214592276E-2</v>
      </c>
      <c r="D308" s="17">
        <v>233</v>
      </c>
      <c r="E308" s="55">
        <v>5.5</v>
      </c>
      <c r="F308" s="67" t="s">
        <v>1</v>
      </c>
      <c r="G308" s="18">
        <v>123900</v>
      </c>
      <c r="H308" s="19">
        <f t="shared" ref="H308:H315" si="54">E308*G308</f>
        <v>681450</v>
      </c>
    </row>
    <row r="309" spans="1:8" s="31" customFormat="1" ht="18">
      <c r="A309" s="309"/>
      <c r="B309" s="17" t="s">
        <v>5</v>
      </c>
      <c r="C309" s="104">
        <f t="shared" si="53"/>
        <v>4.2918454935622317E-3</v>
      </c>
      <c r="D309" s="17">
        <v>233</v>
      </c>
      <c r="E309" s="54">
        <v>1</v>
      </c>
      <c r="F309" s="67" t="s">
        <v>1</v>
      </c>
      <c r="G309" s="18">
        <v>136500</v>
      </c>
      <c r="H309" s="19">
        <f t="shared" si="54"/>
        <v>136500</v>
      </c>
    </row>
    <row r="310" spans="1:8" s="31" customFormat="1" ht="18">
      <c r="A310" s="309"/>
      <c r="B310" s="17" t="s">
        <v>8</v>
      </c>
      <c r="C310" s="104">
        <f t="shared" si="53"/>
        <v>4.2918454935622317E-3</v>
      </c>
      <c r="D310" s="17">
        <v>233</v>
      </c>
      <c r="E310" s="56">
        <v>1</v>
      </c>
      <c r="F310" s="67" t="s">
        <v>1</v>
      </c>
      <c r="G310" s="18">
        <v>36720</v>
      </c>
      <c r="H310" s="19">
        <f t="shared" si="54"/>
        <v>36720</v>
      </c>
    </row>
    <row r="311" spans="1:8" s="31" customFormat="1" ht="18">
      <c r="A311" s="309"/>
      <c r="B311" s="17" t="s">
        <v>45</v>
      </c>
      <c r="C311" s="104">
        <f t="shared" si="53"/>
        <v>6.4377682403433476E-3</v>
      </c>
      <c r="D311" s="17">
        <v>233</v>
      </c>
      <c r="E311" s="56">
        <v>1.5</v>
      </c>
      <c r="F311" s="67" t="s">
        <v>1</v>
      </c>
      <c r="G311" s="18">
        <v>29400</v>
      </c>
      <c r="H311" s="19">
        <f t="shared" si="54"/>
        <v>44100</v>
      </c>
    </row>
    <row r="312" spans="1:8" s="31" customFormat="1" ht="18">
      <c r="A312" s="309"/>
      <c r="B312" s="17" t="s">
        <v>29</v>
      </c>
      <c r="C312" s="104">
        <f t="shared" si="53"/>
        <v>3.4334763948497854E-2</v>
      </c>
      <c r="D312" s="17">
        <v>233</v>
      </c>
      <c r="E312" s="54">
        <v>8</v>
      </c>
      <c r="F312" s="67" t="s">
        <v>1</v>
      </c>
      <c r="G312" s="18">
        <v>49350</v>
      </c>
      <c r="H312" s="19">
        <f t="shared" si="54"/>
        <v>394800</v>
      </c>
    </row>
    <row r="313" spans="1:8" s="31" customFormat="1" ht="18">
      <c r="A313" s="309"/>
      <c r="B313" s="17" t="s">
        <v>111</v>
      </c>
      <c r="C313" s="46"/>
      <c r="D313" s="17">
        <v>233</v>
      </c>
      <c r="E313" s="54">
        <v>8</v>
      </c>
      <c r="F313" s="67" t="s">
        <v>1</v>
      </c>
      <c r="G313" s="36">
        <v>18900</v>
      </c>
      <c r="H313" s="19">
        <f t="shared" si="54"/>
        <v>151200</v>
      </c>
    </row>
    <row r="314" spans="1:8" s="31" customFormat="1" ht="18">
      <c r="A314" s="309"/>
      <c r="B314" s="17" t="s">
        <v>11</v>
      </c>
      <c r="C314" s="74"/>
      <c r="D314" s="17">
        <v>233</v>
      </c>
      <c r="E314" s="56">
        <v>0.1</v>
      </c>
      <c r="F314" s="67" t="s">
        <v>1</v>
      </c>
      <c r="G314" s="18">
        <v>60900</v>
      </c>
      <c r="H314" s="19">
        <f t="shared" si="54"/>
        <v>6090</v>
      </c>
    </row>
    <row r="315" spans="1:8" s="31" customFormat="1" ht="18">
      <c r="A315" s="309"/>
      <c r="B315" s="17" t="s">
        <v>46</v>
      </c>
      <c r="C315" s="74"/>
      <c r="D315" s="17">
        <v>233</v>
      </c>
      <c r="E315" s="56">
        <v>0.1</v>
      </c>
      <c r="F315" s="67" t="s">
        <v>1</v>
      </c>
      <c r="G315" s="36">
        <v>42000</v>
      </c>
      <c r="H315" s="19">
        <f t="shared" si="54"/>
        <v>4200</v>
      </c>
    </row>
    <row r="316" spans="1:8" s="31" customFormat="1" ht="18">
      <c r="A316" s="76"/>
      <c r="B316" s="77"/>
      <c r="C316" s="78"/>
      <c r="D316" s="78"/>
      <c r="E316" s="79"/>
      <c r="F316" s="78"/>
      <c r="G316" s="80"/>
      <c r="H316" s="81">
        <f>SUM(H306:H315)</f>
        <v>3829005</v>
      </c>
    </row>
    <row r="317" spans="1:8" s="31" customFormat="1" ht="18">
      <c r="A317" s="308">
        <v>6</v>
      </c>
      <c r="B317" s="66" t="s">
        <v>21</v>
      </c>
      <c r="C317" s="104">
        <f t="shared" ref="C317:C324" si="55">E317/D317</f>
        <v>0.11939655172413793</v>
      </c>
      <c r="D317" s="67">
        <v>232</v>
      </c>
      <c r="E317" s="88" t="s">
        <v>112</v>
      </c>
      <c r="F317" s="67" t="s">
        <v>1</v>
      </c>
      <c r="G317" s="68">
        <v>21525</v>
      </c>
      <c r="H317" s="38">
        <f>E317*G317</f>
        <v>596242.5</v>
      </c>
    </row>
    <row r="318" spans="1:8" s="31" customFormat="1" ht="18">
      <c r="A318" s="309"/>
      <c r="B318" s="67" t="s">
        <v>9</v>
      </c>
      <c r="C318" s="104">
        <f t="shared" si="55"/>
        <v>7.7586206896551727E-2</v>
      </c>
      <c r="D318" s="67">
        <v>232</v>
      </c>
      <c r="E318" s="67">
        <v>18</v>
      </c>
      <c r="F318" s="67" t="s">
        <v>1</v>
      </c>
      <c r="G318" s="71">
        <v>131250</v>
      </c>
      <c r="H318" s="19">
        <f>E318*G318</f>
        <v>2362500</v>
      </c>
    </row>
    <row r="319" spans="1:8" s="31" customFormat="1" ht="18">
      <c r="A319" s="309"/>
      <c r="B319" s="67" t="s">
        <v>6</v>
      </c>
      <c r="C319" s="104">
        <f t="shared" si="55"/>
        <v>0.56034482758620685</v>
      </c>
      <c r="D319" s="67">
        <v>232</v>
      </c>
      <c r="E319" s="67">
        <v>130</v>
      </c>
      <c r="F319" s="67" t="s">
        <v>1</v>
      </c>
      <c r="G319" s="71">
        <v>3672</v>
      </c>
      <c r="H319" s="19">
        <f t="shared" ref="H319:H324" si="56">E319*G319</f>
        <v>477360</v>
      </c>
    </row>
    <row r="320" spans="1:8" s="31" customFormat="1" ht="18">
      <c r="A320" s="309"/>
      <c r="B320" s="67" t="s">
        <v>5</v>
      </c>
      <c r="C320" s="104">
        <f t="shared" si="55"/>
        <v>4.3103448275862068E-3</v>
      </c>
      <c r="D320" s="67">
        <v>232</v>
      </c>
      <c r="E320" s="67">
        <v>1</v>
      </c>
      <c r="F320" s="67" t="s">
        <v>1</v>
      </c>
      <c r="G320" s="71">
        <v>136500</v>
      </c>
      <c r="H320" s="19">
        <f t="shared" si="56"/>
        <v>136500</v>
      </c>
    </row>
    <row r="321" spans="1:8" s="31" customFormat="1" ht="18">
      <c r="A321" s="309"/>
      <c r="B321" s="67" t="s">
        <v>7</v>
      </c>
      <c r="C321" s="104"/>
      <c r="D321" s="67">
        <v>232</v>
      </c>
      <c r="E321" s="89" t="s">
        <v>25</v>
      </c>
      <c r="F321" s="67" t="s">
        <v>1</v>
      </c>
      <c r="G321" s="72">
        <v>58320</v>
      </c>
      <c r="H321" s="19">
        <f t="shared" si="56"/>
        <v>58320</v>
      </c>
    </row>
    <row r="322" spans="1:8" s="31" customFormat="1" ht="18">
      <c r="A322" s="309"/>
      <c r="B322" s="67" t="s">
        <v>77</v>
      </c>
      <c r="C322" s="104"/>
      <c r="D322" s="67">
        <v>232</v>
      </c>
      <c r="E322" s="67">
        <v>0.1</v>
      </c>
      <c r="F322" s="67" t="s">
        <v>1</v>
      </c>
      <c r="G322" s="71">
        <v>60900</v>
      </c>
      <c r="H322" s="19">
        <f t="shared" si="56"/>
        <v>6090</v>
      </c>
    </row>
    <row r="323" spans="1:8" s="31" customFormat="1" ht="18">
      <c r="A323" s="309"/>
      <c r="B323" s="67" t="s">
        <v>8</v>
      </c>
      <c r="C323" s="104"/>
      <c r="D323" s="67">
        <v>232</v>
      </c>
      <c r="E323" s="89" t="s">
        <v>25</v>
      </c>
      <c r="F323" s="67" t="s">
        <v>1</v>
      </c>
      <c r="G323" s="71">
        <v>36720</v>
      </c>
      <c r="H323" s="19">
        <f t="shared" si="56"/>
        <v>36720</v>
      </c>
    </row>
    <row r="324" spans="1:8" s="31" customFormat="1" ht="18">
      <c r="A324" s="309"/>
      <c r="B324" s="86" t="s">
        <v>78</v>
      </c>
      <c r="C324" s="104">
        <f t="shared" si="55"/>
        <v>2.575107296137339E-2</v>
      </c>
      <c r="D324" s="67">
        <v>233</v>
      </c>
      <c r="E324" s="73">
        <v>6</v>
      </c>
      <c r="F324" s="67" t="s">
        <v>1</v>
      </c>
      <c r="G324" s="71">
        <v>23100</v>
      </c>
      <c r="H324" s="19">
        <f t="shared" si="56"/>
        <v>138600</v>
      </c>
    </row>
    <row r="325" spans="1:8" ht="18">
      <c r="A325" s="2"/>
      <c r="B325" s="3"/>
      <c r="C325" s="48"/>
      <c r="D325" s="2"/>
      <c r="E325" s="63"/>
      <c r="F325" s="5"/>
      <c r="G325" s="2"/>
      <c r="H325" s="26">
        <f>SUM(H317:H324)</f>
        <v>3812332.5</v>
      </c>
    </row>
    <row r="583" spans="1:8" ht="15.6">
      <c r="A583" s="6" t="s">
        <v>0</v>
      </c>
      <c r="B583" s="6"/>
    </row>
    <row r="584" spans="1:8" ht="26.4" customHeight="1">
      <c r="A584" s="302" t="s">
        <v>51</v>
      </c>
      <c r="B584" s="302"/>
      <c r="C584" s="302"/>
      <c r="D584" s="302"/>
      <c r="E584" s="302"/>
      <c r="F584" s="302"/>
      <c r="G584" s="302"/>
      <c r="H584" s="302"/>
    </row>
    <row r="585" spans="1:8" ht="26.4" customHeight="1">
      <c r="A585" s="87"/>
      <c r="B585" s="303" t="s">
        <v>96</v>
      </c>
      <c r="C585" s="303"/>
      <c r="D585" s="303"/>
      <c r="E585" s="303"/>
      <c r="F585" s="303"/>
      <c r="G585" s="303"/>
      <c r="H585" s="303"/>
    </row>
    <row r="586" spans="1:8" ht="40.200000000000003">
      <c r="A586" s="7" t="s">
        <v>14</v>
      </c>
      <c r="B586" s="8" t="s">
        <v>15</v>
      </c>
      <c r="C586" s="9" t="s">
        <v>16</v>
      </c>
      <c r="D586" s="10" t="s">
        <v>17</v>
      </c>
      <c r="E586" s="61" t="s">
        <v>18</v>
      </c>
      <c r="F586" s="11" t="s">
        <v>4</v>
      </c>
      <c r="G586" s="7" t="s">
        <v>19</v>
      </c>
      <c r="H586" s="7" t="s">
        <v>20</v>
      </c>
    </row>
    <row r="587" spans="1:8" ht="18">
      <c r="A587" s="310">
        <v>2</v>
      </c>
      <c r="B587" s="2" t="s">
        <v>21</v>
      </c>
      <c r="C587" s="48">
        <v>120</v>
      </c>
      <c r="D587" s="2">
        <v>225</v>
      </c>
      <c r="E587" s="92" t="s">
        <v>83</v>
      </c>
      <c r="F587" s="2" t="s">
        <v>1</v>
      </c>
      <c r="G587" s="4">
        <v>21525</v>
      </c>
      <c r="H587" s="5">
        <f t="shared" ref="H587:H594" si="57">E587*G587</f>
        <v>579022.5</v>
      </c>
    </row>
    <row r="588" spans="1:8" ht="18">
      <c r="A588" s="311"/>
      <c r="B588" s="90" t="s">
        <v>58</v>
      </c>
      <c r="C588" s="40">
        <v>63</v>
      </c>
      <c r="D588" s="15">
        <v>225</v>
      </c>
      <c r="E588" s="91" t="s">
        <v>98</v>
      </c>
      <c r="F588" s="15" t="s">
        <v>1</v>
      </c>
      <c r="G588" s="83">
        <v>156600</v>
      </c>
      <c r="H588" s="16">
        <f t="shared" si="57"/>
        <v>1753920</v>
      </c>
    </row>
    <row r="589" spans="1:8" ht="18">
      <c r="A589" s="311"/>
      <c r="B589" s="85" t="s">
        <v>59</v>
      </c>
      <c r="C589" s="41">
        <v>0.3</v>
      </c>
      <c r="D589" s="15">
        <v>225</v>
      </c>
      <c r="E589" s="89" t="s">
        <v>95</v>
      </c>
      <c r="F589" s="17" t="s">
        <v>1</v>
      </c>
      <c r="G589" s="71">
        <v>21000</v>
      </c>
      <c r="H589" s="19">
        <f t="shared" si="57"/>
        <v>300300</v>
      </c>
    </row>
    <row r="590" spans="1:8" ht="18">
      <c r="A590" s="311"/>
      <c r="B590" s="84" t="s">
        <v>80</v>
      </c>
      <c r="C590" s="41">
        <v>37</v>
      </c>
      <c r="D590" s="15">
        <v>225</v>
      </c>
      <c r="E590" s="89" t="s">
        <v>99</v>
      </c>
      <c r="F590" s="17" t="s">
        <v>1</v>
      </c>
      <c r="G590" s="71">
        <v>125580</v>
      </c>
      <c r="H590" s="19">
        <f t="shared" si="57"/>
        <v>766038</v>
      </c>
    </row>
    <row r="591" spans="1:8" ht="18">
      <c r="A591" s="311"/>
      <c r="B591" s="84" t="s">
        <v>5</v>
      </c>
      <c r="C591" s="41"/>
      <c r="D591" s="15">
        <v>225</v>
      </c>
      <c r="E591" s="89" t="s">
        <v>25</v>
      </c>
      <c r="F591" s="17" t="s">
        <v>1</v>
      </c>
      <c r="G591" s="18">
        <v>136500</v>
      </c>
      <c r="H591" s="19">
        <f t="shared" si="57"/>
        <v>136500</v>
      </c>
    </row>
    <row r="592" spans="1:8" ht="18">
      <c r="A592" s="311"/>
      <c r="B592" s="84" t="s">
        <v>68</v>
      </c>
      <c r="C592" s="46"/>
      <c r="D592" s="15">
        <v>225</v>
      </c>
      <c r="E592" s="43" t="s">
        <v>41</v>
      </c>
      <c r="F592" s="17" t="s">
        <v>1</v>
      </c>
      <c r="G592" s="18">
        <v>49350</v>
      </c>
      <c r="H592" s="19">
        <f t="shared" si="57"/>
        <v>4935</v>
      </c>
    </row>
    <row r="593" spans="1:8" ht="18">
      <c r="A593" s="311"/>
      <c r="B593" s="84" t="s">
        <v>69</v>
      </c>
      <c r="C593" s="65"/>
      <c r="D593" s="17"/>
      <c r="E593" s="62" t="s">
        <v>41</v>
      </c>
      <c r="F593" s="17" t="s">
        <v>1</v>
      </c>
      <c r="G593" s="36">
        <v>60900</v>
      </c>
      <c r="H593" s="19">
        <f t="shared" si="57"/>
        <v>6090</v>
      </c>
    </row>
    <row r="594" spans="1:8" ht="18">
      <c r="A594" s="311"/>
      <c r="B594" s="84" t="s">
        <v>65</v>
      </c>
      <c r="C594" s="47"/>
      <c r="D594" s="17">
        <v>225</v>
      </c>
      <c r="E594" s="62" t="s">
        <v>63</v>
      </c>
      <c r="F594" s="17" t="s">
        <v>1</v>
      </c>
      <c r="G594" s="36">
        <v>22050</v>
      </c>
      <c r="H594" s="19">
        <f t="shared" si="57"/>
        <v>110250</v>
      </c>
    </row>
    <row r="595" spans="1:8" ht="18">
      <c r="A595" s="312"/>
      <c r="B595" s="298"/>
      <c r="C595" s="299"/>
      <c r="D595" s="299"/>
      <c r="E595" s="299"/>
      <c r="F595" s="299"/>
      <c r="G595" s="300"/>
      <c r="H595" s="26">
        <f>SUM(H587:H594)</f>
        <v>3657055.5</v>
      </c>
    </row>
    <row r="596" spans="1:8" ht="18">
      <c r="A596" s="310">
        <v>3</v>
      </c>
      <c r="B596" s="12" t="s">
        <v>21</v>
      </c>
      <c r="C596" s="59">
        <f>E596/D596</f>
        <v>0.12</v>
      </c>
      <c r="D596" s="12">
        <v>225</v>
      </c>
      <c r="E596" s="50" t="s">
        <v>30</v>
      </c>
      <c r="F596" s="12" t="s">
        <v>1</v>
      </c>
      <c r="G596" s="13">
        <v>21525</v>
      </c>
      <c r="H596" s="14">
        <f>E596*G596</f>
        <v>581175</v>
      </c>
    </row>
    <row r="597" spans="1:8" ht="18">
      <c r="A597" s="311"/>
      <c r="B597" s="17" t="s">
        <v>5</v>
      </c>
      <c r="C597" s="46">
        <f>E597/D597</f>
        <v>6.5333333333333327E-2</v>
      </c>
      <c r="D597" s="17">
        <v>225</v>
      </c>
      <c r="E597" s="51" t="s">
        <v>56</v>
      </c>
      <c r="F597" s="17" t="s">
        <v>1</v>
      </c>
      <c r="G597" s="18">
        <v>136500</v>
      </c>
      <c r="H597" s="19">
        <f>E597*G597</f>
        <v>2006550</v>
      </c>
    </row>
    <row r="598" spans="1:8" ht="18">
      <c r="A598" s="311"/>
      <c r="B598" s="17" t="s">
        <v>31</v>
      </c>
      <c r="C598" s="46">
        <f t="shared" ref="C598:C600" si="58">E598/D598</f>
        <v>3.1111111111111109E-3</v>
      </c>
      <c r="D598" s="17">
        <v>225</v>
      </c>
      <c r="E598" s="51" t="s">
        <v>32</v>
      </c>
      <c r="F598" s="17" t="s">
        <v>1</v>
      </c>
      <c r="G598" s="18">
        <v>306600</v>
      </c>
      <c r="H598" s="19">
        <f t="shared" ref="H598:H603" si="59">E598*G598</f>
        <v>214620</v>
      </c>
    </row>
    <row r="599" spans="1:8" ht="18">
      <c r="A599" s="311"/>
      <c r="B599" s="17" t="s">
        <v>33</v>
      </c>
      <c r="C599" s="46">
        <f t="shared" si="58"/>
        <v>3.6888888888888895E-2</v>
      </c>
      <c r="D599" s="17">
        <v>225</v>
      </c>
      <c r="E599" s="51" t="s">
        <v>85</v>
      </c>
      <c r="F599" s="17" t="s">
        <v>1</v>
      </c>
      <c r="G599" s="18">
        <v>67200</v>
      </c>
      <c r="H599" s="19">
        <f t="shared" si="59"/>
        <v>557760</v>
      </c>
    </row>
    <row r="600" spans="1:8" ht="18">
      <c r="A600" s="311"/>
      <c r="B600" s="17" t="s">
        <v>5</v>
      </c>
      <c r="C600" s="46">
        <f t="shared" si="58"/>
        <v>4.4444444444444444E-3</v>
      </c>
      <c r="D600" s="17">
        <v>225</v>
      </c>
      <c r="E600" s="44">
        <v>1</v>
      </c>
      <c r="F600" s="17" t="s">
        <v>1</v>
      </c>
      <c r="G600" s="19">
        <v>136500</v>
      </c>
      <c r="H600" s="19">
        <f t="shared" si="59"/>
        <v>136500</v>
      </c>
    </row>
    <row r="601" spans="1:8" ht="18">
      <c r="A601" s="311"/>
      <c r="B601" s="17" t="s">
        <v>70</v>
      </c>
      <c r="C601" s="41"/>
      <c r="D601" s="17">
        <v>225</v>
      </c>
      <c r="E601" s="44">
        <v>8</v>
      </c>
      <c r="F601" s="17" t="s">
        <v>1</v>
      </c>
      <c r="G601" s="18">
        <v>23100</v>
      </c>
      <c r="H601" s="19">
        <f t="shared" si="59"/>
        <v>184800</v>
      </c>
    </row>
    <row r="602" spans="1:8" ht="18">
      <c r="A602" s="311"/>
      <c r="B602" s="17" t="s">
        <v>11</v>
      </c>
      <c r="C602" s="41"/>
      <c r="D602" s="17"/>
      <c r="E602" s="43" t="s">
        <v>41</v>
      </c>
      <c r="F602" s="17" t="s">
        <v>1</v>
      </c>
      <c r="G602" s="18">
        <v>60900</v>
      </c>
      <c r="H602" s="19">
        <f t="shared" si="59"/>
        <v>6090</v>
      </c>
    </row>
    <row r="603" spans="1:8" ht="18">
      <c r="A603" s="311"/>
      <c r="B603" s="20" t="s">
        <v>36</v>
      </c>
      <c r="C603" s="47"/>
      <c r="D603" s="17"/>
      <c r="E603" s="62" t="s">
        <v>41</v>
      </c>
      <c r="F603" s="17" t="s">
        <v>1</v>
      </c>
      <c r="G603" s="36">
        <v>49350</v>
      </c>
      <c r="H603" s="19">
        <f t="shared" si="59"/>
        <v>4935</v>
      </c>
    </row>
    <row r="604" spans="1:8" ht="18">
      <c r="A604" s="312"/>
      <c r="B604" s="298"/>
      <c r="C604" s="299"/>
      <c r="D604" s="299"/>
      <c r="E604" s="299"/>
      <c r="F604" s="299"/>
      <c r="G604" s="300"/>
      <c r="H604" s="26">
        <f>SUM(H596:H603)</f>
        <v>3692430</v>
      </c>
    </row>
    <row r="605" spans="1:8" ht="18">
      <c r="A605" s="310">
        <v>4</v>
      </c>
      <c r="B605" s="12" t="s">
        <v>21</v>
      </c>
      <c r="C605" s="59">
        <f>E605/D605</f>
        <v>0.12</v>
      </c>
      <c r="D605" s="12">
        <v>225</v>
      </c>
      <c r="E605" s="50" t="s">
        <v>30</v>
      </c>
      <c r="F605" s="12" t="s">
        <v>1</v>
      </c>
      <c r="G605" s="13">
        <v>21525</v>
      </c>
      <c r="H605" s="14">
        <f>E605*G605</f>
        <v>581175</v>
      </c>
    </row>
    <row r="606" spans="1:8" ht="18">
      <c r="A606" s="311"/>
      <c r="B606" s="17" t="s">
        <v>80</v>
      </c>
      <c r="C606" s="46">
        <f>E606/D606</f>
        <v>7.5555555555555556E-2</v>
      </c>
      <c r="D606" s="17">
        <v>225</v>
      </c>
      <c r="E606" s="55">
        <v>17</v>
      </c>
      <c r="F606" s="17" t="s">
        <v>1</v>
      </c>
      <c r="G606" s="18">
        <v>123900</v>
      </c>
      <c r="H606" s="19">
        <f>E606*G606</f>
        <v>2106300</v>
      </c>
    </row>
    <row r="607" spans="1:8" ht="18">
      <c r="A607" s="311"/>
      <c r="B607" s="17" t="s">
        <v>33</v>
      </c>
      <c r="C607" s="46">
        <f t="shared" ref="C607:C609" si="60">E607/D607</f>
        <v>3.2000000000000001E-2</v>
      </c>
      <c r="D607" s="17">
        <v>225</v>
      </c>
      <c r="E607" s="51" t="s">
        <v>97</v>
      </c>
      <c r="F607" s="17" t="s">
        <v>1</v>
      </c>
      <c r="G607" s="18">
        <v>67200</v>
      </c>
      <c r="H607" s="19">
        <f>E607*G607</f>
        <v>483840</v>
      </c>
    </row>
    <row r="608" spans="1:8" ht="18">
      <c r="A608" s="311"/>
      <c r="B608" s="17" t="s">
        <v>71</v>
      </c>
      <c r="C608" s="46">
        <f t="shared" si="60"/>
        <v>1.3333333333333334E-2</v>
      </c>
      <c r="D608" s="17">
        <v>225</v>
      </c>
      <c r="E608" s="51" t="s">
        <v>43</v>
      </c>
      <c r="F608" s="17" t="s">
        <v>1</v>
      </c>
      <c r="G608" s="18">
        <v>78750</v>
      </c>
      <c r="H608" s="19">
        <f t="shared" ref="H608:H612" si="61">E608*G608</f>
        <v>236250</v>
      </c>
    </row>
    <row r="609" spans="1:8" ht="18">
      <c r="A609" s="311"/>
      <c r="B609" s="17" t="s">
        <v>72</v>
      </c>
      <c r="C609" s="46">
        <f t="shared" si="60"/>
        <v>5.7777777777777775E-2</v>
      </c>
      <c r="D609" s="17">
        <v>225</v>
      </c>
      <c r="E609" s="51" t="s">
        <v>73</v>
      </c>
      <c r="F609" s="17" t="s">
        <v>1</v>
      </c>
      <c r="G609" s="18">
        <v>20478</v>
      </c>
      <c r="H609" s="19">
        <f t="shared" si="61"/>
        <v>266214</v>
      </c>
    </row>
    <row r="610" spans="1:8" ht="18">
      <c r="A610" s="311"/>
      <c r="B610" s="17" t="s">
        <v>74</v>
      </c>
      <c r="C610" s="46"/>
      <c r="D610" s="17">
        <v>225</v>
      </c>
      <c r="E610" s="51" t="s">
        <v>41</v>
      </c>
      <c r="F610" s="17" t="s">
        <v>1</v>
      </c>
      <c r="G610" s="18">
        <v>68040</v>
      </c>
      <c r="H610" s="19">
        <f t="shared" si="61"/>
        <v>6804</v>
      </c>
    </row>
    <row r="611" spans="1:8" ht="18">
      <c r="A611" s="311"/>
      <c r="B611" s="17" t="s">
        <v>61</v>
      </c>
      <c r="C611" s="46"/>
      <c r="D611" s="17">
        <v>225</v>
      </c>
      <c r="E611" s="51" t="s">
        <v>41</v>
      </c>
      <c r="F611" s="17" t="s">
        <v>1</v>
      </c>
      <c r="G611" s="18">
        <v>60900</v>
      </c>
      <c r="H611" s="19">
        <f t="shared" si="61"/>
        <v>6090</v>
      </c>
    </row>
    <row r="612" spans="1:8" ht="18">
      <c r="A612" s="311"/>
      <c r="B612" s="17" t="s">
        <v>75</v>
      </c>
      <c r="C612" s="46"/>
      <c r="D612" s="17">
        <v>225</v>
      </c>
      <c r="E612" s="51" t="s">
        <v>41</v>
      </c>
      <c r="F612" s="17" t="s">
        <v>1</v>
      </c>
      <c r="G612" s="18">
        <v>49350</v>
      </c>
      <c r="H612" s="19">
        <f t="shared" si="61"/>
        <v>4935</v>
      </c>
    </row>
    <row r="613" spans="1:8" ht="18">
      <c r="A613" s="311"/>
      <c r="B613" s="17"/>
      <c r="C613" s="41"/>
      <c r="D613" s="20"/>
      <c r="E613" s="27"/>
      <c r="F613" s="27"/>
      <c r="G613" s="18"/>
      <c r="H613" s="28">
        <f>SUM(H605:H612)</f>
        <v>3691608</v>
      </c>
    </row>
    <row r="614" spans="1:8" s="31" customFormat="1" ht="18">
      <c r="A614" s="308">
        <v>5</v>
      </c>
      <c r="B614" s="12" t="s">
        <v>21</v>
      </c>
      <c r="C614" s="59">
        <f>E614/D614</f>
        <v>0.12</v>
      </c>
      <c r="D614" s="67">
        <v>225</v>
      </c>
      <c r="E614" s="50" t="s">
        <v>30</v>
      </c>
      <c r="F614" s="66" t="s">
        <v>1</v>
      </c>
      <c r="G614" s="13">
        <v>21525</v>
      </c>
      <c r="H614" s="69">
        <f>E614*G614</f>
        <v>581175</v>
      </c>
    </row>
    <row r="615" spans="1:8" s="31" customFormat="1" ht="18">
      <c r="A615" s="309"/>
      <c r="B615" s="37" t="s">
        <v>44</v>
      </c>
      <c r="C615" s="46">
        <f>E615/D615</f>
        <v>3.6888888888888895E-2</v>
      </c>
      <c r="D615" s="67">
        <v>225</v>
      </c>
      <c r="E615" s="55">
        <v>8.3000000000000007</v>
      </c>
      <c r="F615" s="67" t="s">
        <v>1</v>
      </c>
      <c r="G615" s="18">
        <v>199500</v>
      </c>
      <c r="H615" s="72">
        <f>E615*G615</f>
        <v>1655850.0000000002</v>
      </c>
    </row>
    <row r="616" spans="1:8" s="31" customFormat="1" ht="18">
      <c r="A616" s="309"/>
      <c r="B616" s="17" t="s">
        <v>80</v>
      </c>
      <c r="C616" s="46">
        <f t="shared" ref="C616:C620" si="62">E616/D616</f>
        <v>2.4444444444444446E-2</v>
      </c>
      <c r="D616" s="67">
        <v>225</v>
      </c>
      <c r="E616" s="55">
        <v>5.5</v>
      </c>
      <c r="F616" s="17" t="s">
        <v>1</v>
      </c>
      <c r="G616" s="18">
        <v>123900</v>
      </c>
      <c r="H616" s="19">
        <f t="shared" ref="H616:H623" si="63">E616*G616</f>
        <v>681450</v>
      </c>
    </row>
    <row r="617" spans="1:8" s="31" customFormat="1" ht="18">
      <c r="A617" s="309"/>
      <c r="B617" s="17" t="s">
        <v>5</v>
      </c>
      <c r="C617" s="46">
        <f t="shared" si="62"/>
        <v>4.4444444444444444E-3</v>
      </c>
      <c r="D617" s="67">
        <v>225</v>
      </c>
      <c r="E617" s="55">
        <v>1</v>
      </c>
      <c r="F617" s="67" t="s">
        <v>1</v>
      </c>
      <c r="G617" s="18">
        <v>136501</v>
      </c>
      <c r="H617" s="72">
        <f t="shared" si="63"/>
        <v>136501</v>
      </c>
    </row>
    <row r="618" spans="1:8" s="31" customFormat="1" ht="18">
      <c r="A618" s="309"/>
      <c r="B618" s="17" t="s">
        <v>8</v>
      </c>
      <c r="C618" s="46">
        <f t="shared" si="62"/>
        <v>4.4444444444444444E-3</v>
      </c>
      <c r="D618" s="67">
        <v>225</v>
      </c>
      <c r="E618" s="54">
        <v>1</v>
      </c>
      <c r="F618" s="67" t="s">
        <v>1</v>
      </c>
      <c r="G618" s="18">
        <v>36720</v>
      </c>
      <c r="H618" s="72">
        <f t="shared" si="63"/>
        <v>36720</v>
      </c>
    </row>
    <row r="619" spans="1:8" s="31" customFormat="1" ht="18">
      <c r="A619" s="309"/>
      <c r="B619" s="17" t="s">
        <v>45</v>
      </c>
      <c r="C619" s="46">
        <f t="shared" si="62"/>
        <v>6.6666666666666671E-3</v>
      </c>
      <c r="D619" s="67">
        <v>225</v>
      </c>
      <c r="E619" s="56">
        <v>1.5</v>
      </c>
      <c r="F619" s="67" t="s">
        <v>1</v>
      </c>
      <c r="G619" s="18">
        <v>36750</v>
      </c>
      <c r="H619" s="72">
        <f t="shared" si="63"/>
        <v>55125</v>
      </c>
    </row>
    <row r="620" spans="1:8" s="31" customFormat="1" ht="18">
      <c r="A620" s="309"/>
      <c r="B620" s="17" t="s">
        <v>29</v>
      </c>
      <c r="C620" s="46">
        <f t="shared" si="62"/>
        <v>3.5555555555555556E-2</v>
      </c>
      <c r="D620" s="67">
        <v>225</v>
      </c>
      <c r="E620" s="54">
        <v>8</v>
      </c>
      <c r="F620" s="67" t="s">
        <v>1</v>
      </c>
      <c r="G620" s="18">
        <v>47250</v>
      </c>
      <c r="H620" s="72">
        <f t="shared" si="63"/>
        <v>378000</v>
      </c>
    </row>
    <row r="621" spans="1:8" s="31" customFormat="1" ht="18">
      <c r="A621" s="309"/>
      <c r="B621" s="17" t="s">
        <v>11</v>
      </c>
      <c r="C621" s="74"/>
      <c r="D621" s="67"/>
      <c r="E621" s="56">
        <v>0.1</v>
      </c>
      <c r="F621" s="67" t="s">
        <v>1</v>
      </c>
      <c r="G621" s="18">
        <v>60900</v>
      </c>
      <c r="H621" s="72">
        <f t="shared" si="63"/>
        <v>6090</v>
      </c>
    </row>
    <row r="622" spans="1:8" s="31" customFormat="1" ht="18">
      <c r="A622" s="309"/>
      <c r="B622" s="17" t="s">
        <v>46</v>
      </c>
      <c r="C622" s="74"/>
      <c r="D622" s="67"/>
      <c r="E622" s="56">
        <v>0.1</v>
      </c>
      <c r="F622" s="67" t="s">
        <v>1</v>
      </c>
      <c r="G622" s="36">
        <v>49350</v>
      </c>
      <c r="H622" s="72">
        <f>E622*G622-1</f>
        <v>4934</v>
      </c>
    </row>
    <row r="623" spans="1:8" s="31" customFormat="1" ht="18">
      <c r="A623" s="309"/>
      <c r="B623" s="17" t="s">
        <v>76</v>
      </c>
      <c r="C623" s="74"/>
      <c r="D623" s="67"/>
      <c r="E623" s="75">
        <v>8</v>
      </c>
      <c r="F623" s="67" t="s">
        <v>1</v>
      </c>
      <c r="G623" s="71">
        <v>18900</v>
      </c>
      <c r="H623" s="72">
        <f t="shared" si="63"/>
        <v>151200</v>
      </c>
    </row>
    <row r="624" spans="1:8" s="31" customFormat="1" ht="18">
      <c r="A624" s="76"/>
      <c r="B624" s="77"/>
      <c r="C624" s="78"/>
      <c r="D624" s="78"/>
      <c r="E624" s="79"/>
      <c r="F624" s="78"/>
      <c r="G624" s="80"/>
      <c r="H624" s="81">
        <f>SUM(H614:H623)</f>
        <v>3687045</v>
      </c>
    </row>
    <row r="625" spans="1:8" s="31" customFormat="1" ht="18">
      <c r="A625" s="308">
        <v>6</v>
      </c>
      <c r="B625" s="66" t="s">
        <v>21</v>
      </c>
      <c r="C625" s="59">
        <f>E625/D625</f>
        <v>0.12</v>
      </c>
      <c r="D625" s="67">
        <v>225</v>
      </c>
      <c r="E625" s="88" t="s">
        <v>30</v>
      </c>
      <c r="F625" s="67" t="s">
        <v>1</v>
      </c>
      <c r="G625" s="68">
        <v>21525</v>
      </c>
      <c r="H625" s="38">
        <f>E625*G625</f>
        <v>581175</v>
      </c>
    </row>
    <row r="626" spans="1:8" s="31" customFormat="1" ht="18">
      <c r="A626" s="309"/>
      <c r="B626" s="67" t="s">
        <v>9</v>
      </c>
      <c r="C626" s="46">
        <f>E626/D626</f>
        <v>7.644444444444444E-2</v>
      </c>
      <c r="D626" s="67">
        <v>225</v>
      </c>
      <c r="E626" s="67">
        <v>17.2</v>
      </c>
      <c r="F626" s="17" t="s">
        <v>1</v>
      </c>
      <c r="G626" s="71">
        <v>131250</v>
      </c>
      <c r="H626" s="19">
        <f>E626*G626</f>
        <v>2257500</v>
      </c>
    </row>
    <row r="627" spans="1:8" s="31" customFormat="1" ht="18">
      <c r="A627" s="309"/>
      <c r="B627" s="67" t="s">
        <v>6</v>
      </c>
      <c r="C627" s="46">
        <f t="shared" ref="C627:C631" si="64">E627/D627</f>
        <v>0.57777777777777772</v>
      </c>
      <c r="D627" s="67">
        <v>225</v>
      </c>
      <c r="E627" s="67">
        <v>130</v>
      </c>
      <c r="F627" s="17" t="s">
        <v>1</v>
      </c>
      <c r="G627" s="71">
        <v>3672</v>
      </c>
      <c r="H627" s="19">
        <f t="shared" ref="H627:H632" si="65">E627*G627</f>
        <v>477360</v>
      </c>
    </row>
    <row r="628" spans="1:8" s="31" customFormat="1" ht="18">
      <c r="A628" s="309"/>
      <c r="B628" s="67" t="s">
        <v>5</v>
      </c>
      <c r="C628" s="46">
        <f t="shared" si="64"/>
        <v>4.4444444444444444E-3</v>
      </c>
      <c r="D628" s="67">
        <v>225</v>
      </c>
      <c r="E628" s="67">
        <v>1</v>
      </c>
      <c r="F628" s="67" t="s">
        <v>1</v>
      </c>
      <c r="G628" s="71">
        <v>136500</v>
      </c>
      <c r="H628" s="19">
        <f t="shared" si="65"/>
        <v>136500</v>
      </c>
    </row>
    <row r="629" spans="1:8" s="31" customFormat="1" ht="18">
      <c r="A629" s="309"/>
      <c r="B629" s="67" t="s">
        <v>7</v>
      </c>
      <c r="C629" s="46">
        <f t="shared" si="64"/>
        <v>4.4444444444444444E-3</v>
      </c>
      <c r="D629" s="67">
        <v>225</v>
      </c>
      <c r="E629" s="89" t="s">
        <v>25</v>
      </c>
      <c r="F629" s="67" t="s">
        <v>1</v>
      </c>
      <c r="G629" s="72">
        <v>58320</v>
      </c>
      <c r="H629" s="19">
        <f t="shared" si="65"/>
        <v>58320</v>
      </c>
    </row>
    <row r="630" spans="1:8" s="31" customFormat="1" ht="18">
      <c r="A630" s="309"/>
      <c r="B630" s="67" t="s">
        <v>77</v>
      </c>
      <c r="C630" s="46">
        <f t="shared" si="64"/>
        <v>4.4444444444444447E-4</v>
      </c>
      <c r="D630" s="67">
        <v>225</v>
      </c>
      <c r="E630" s="67">
        <v>0.1</v>
      </c>
      <c r="F630" s="67" t="s">
        <v>1</v>
      </c>
      <c r="G630" s="71">
        <v>60900</v>
      </c>
      <c r="H630" s="19">
        <f t="shared" si="65"/>
        <v>6090</v>
      </c>
    </row>
    <row r="631" spans="1:8" s="31" customFormat="1" ht="18">
      <c r="A631" s="309"/>
      <c r="B631" s="67" t="s">
        <v>8</v>
      </c>
      <c r="C631" s="46">
        <f t="shared" si="64"/>
        <v>4.4444444444444444E-3</v>
      </c>
      <c r="D631" s="67">
        <v>225</v>
      </c>
      <c r="E631" s="89" t="s">
        <v>25</v>
      </c>
      <c r="F631" s="67" t="s">
        <v>1</v>
      </c>
      <c r="G631" s="71">
        <v>36720</v>
      </c>
      <c r="H631" s="19">
        <f t="shared" si="65"/>
        <v>36720</v>
      </c>
    </row>
    <row r="632" spans="1:8" s="31" customFormat="1" ht="18">
      <c r="A632" s="309"/>
      <c r="B632" s="86" t="s">
        <v>78</v>
      </c>
      <c r="C632" s="74"/>
      <c r="D632" s="67">
        <v>225</v>
      </c>
      <c r="E632" s="73">
        <v>6</v>
      </c>
      <c r="F632" s="67" t="s">
        <v>1</v>
      </c>
      <c r="G632" s="71">
        <v>23100</v>
      </c>
      <c r="H632" s="19">
        <f t="shared" si="65"/>
        <v>138600</v>
      </c>
    </row>
    <row r="633" spans="1:8" ht="18">
      <c r="A633" s="2"/>
      <c r="B633" s="82"/>
      <c r="C633" s="48"/>
      <c r="D633" s="2"/>
      <c r="E633" s="63"/>
      <c r="F633" s="5"/>
      <c r="G633" s="2"/>
      <c r="H633" s="26">
        <f>SUM(H625:H632)</f>
        <v>3692265</v>
      </c>
    </row>
    <row r="634" spans="1:8" ht="18">
      <c r="A634" s="313" t="s">
        <v>26</v>
      </c>
      <c r="B634" s="313"/>
      <c r="C634" s="313" t="s">
        <v>27</v>
      </c>
      <c r="D634" s="313"/>
      <c r="E634" s="313"/>
      <c r="F634" s="1"/>
      <c r="G634" s="277" t="s">
        <v>54</v>
      </c>
      <c r="H634" s="277"/>
    </row>
    <row r="635" spans="1:8" ht="18">
      <c r="A635" s="33"/>
      <c r="B635" s="33"/>
      <c r="C635" s="33"/>
      <c r="D635" s="33"/>
      <c r="E635" s="33"/>
      <c r="F635" s="1"/>
      <c r="G635" s="33"/>
      <c r="H635" s="33"/>
    </row>
    <row r="636" spans="1:8" ht="18">
      <c r="A636" s="33"/>
      <c r="B636" s="33"/>
      <c r="C636" s="33"/>
      <c r="D636" s="33"/>
      <c r="E636" s="33"/>
      <c r="F636" s="1"/>
      <c r="G636" s="33"/>
      <c r="H636" s="33"/>
    </row>
    <row r="637" spans="1:8" ht="18">
      <c r="A637" s="33"/>
      <c r="B637" s="33"/>
      <c r="C637" s="33"/>
      <c r="D637" s="33"/>
      <c r="E637" s="33"/>
      <c r="F637" s="1"/>
      <c r="G637" s="33"/>
      <c r="H637" s="33"/>
    </row>
    <row r="638" spans="1:8" ht="18">
      <c r="A638" s="33"/>
      <c r="B638" s="33"/>
      <c r="C638" s="33"/>
      <c r="D638" s="33"/>
      <c r="E638" s="33"/>
      <c r="F638" s="1"/>
      <c r="G638" s="33"/>
      <c r="H638" s="33"/>
    </row>
    <row r="639" spans="1:8" ht="18">
      <c r="A639" s="33"/>
      <c r="B639" s="33"/>
      <c r="C639" s="33"/>
      <c r="D639" s="33"/>
      <c r="E639" s="33"/>
      <c r="F639" s="1"/>
      <c r="G639" s="33"/>
      <c r="H639" s="33"/>
    </row>
    <row r="640" spans="1:8" ht="18">
      <c r="A640" s="33"/>
      <c r="B640" s="33"/>
      <c r="C640" s="33"/>
      <c r="D640" s="33"/>
      <c r="E640" s="33"/>
      <c r="F640" s="1"/>
      <c r="G640" s="33"/>
      <c r="H640" s="33"/>
    </row>
    <row r="641" spans="1:8" ht="18">
      <c r="A641" s="33"/>
      <c r="B641" s="33"/>
      <c r="C641" s="33"/>
      <c r="D641" s="33"/>
      <c r="E641" s="33"/>
      <c r="F641" s="1"/>
      <c r="G641" s="33"/>
      <c r="H641" s="33"/>
    </row>
    <row r="642" spans="1:8" ht="18">
      <c r="A642" s="33"/>
      <c r="B642" s="33"/>
      <c r="C642" s="33"/>
      <c r="D642" s="33"/>
      <c r="E642" s="33"/>
      <c r="F642" s="1"/>
      <c r="G642" s="33"/>
      <c r="H642" s="33"/>
    </row>
    <row r="643" spans="1:8" ht="18">
      <c r="A643" s="33"/>
      <c r="B643" s="33"/>
      <c r="C643" s="33"/>
      <c r="D643" s="33"/>
      <c r="E643" s="33"/>
      <c r="F643" s="1"/>
      <c r="G643" s="33"/>
      <c r="H643" s="33"/>
    </row>
    <row r="644" spans="1:8" ht="18">
      <c r="A644" s="33"/>
      <c r="B644" s="33"/>
      <c r="C644" s="33"/>
      <c r="D644" s="33"/>
      <c r="E644" s="33"/>
      <c r="F644" s="1"/>
      <c r="G644" s="33"/>
      <c r="H644" s="33"/>
    </row>
    <row r="645" spans="1:8" ht="18">
      <c r="A645" s="33"/>
      <c r="B645" s="33"/>
      <c r="C645" s="33"/>
      <c r="D645" s="33"/>
      <c r="E645" s="33"/>
      <c r="F645" s="1"/>
      <c r="G645" s="33"/>
      <c r="H645" s="33"/>
    </row>
    <row r="646" spans="1:8" ht="18">
      <c r="A646" s="33"/>
      <c r="B646" s="33"/>
      <c r="C646" s="33"/>
      <c r="D646" s="33"/>
      <c r="E646" s="33"/>
      <c r="F646" s="1"/>
      <c r="G646" s="33"/>
      <c r="H646" s="33"/>
    </row>
    <row r="647" spans="1:8" ht="18">
      <c r="A647" s="33"/>
      <c r="B647" s="33"/>
      <c r="C647" s="33"/>
      <c r="D647" s="33"/>
      <c r="E647" s="33"/>
      <c r="F647" s="1"/>
      <c r="G647" s="33"/>
      <c r="H647" s="33"/>
    </row>
    <row r="648" spans="1:8" ht="18">
      <c r="A648" s="33"/>
      <c r="B648" s="33"/>
      <c r="C648" s="33"/>
      <c r="D648" s="33"/>
      <c r="E648" s="33"/>
      <c r="F648" s="1"/>
      <c r="G648" s="33"/>
      <c r="H648" s="33"/>
    </row>
    <row r="649" spans="1:8" ht="18">
      <c r="A649" s="33"/>
      <c r="B649" s="33"/>
      <c r="C649" s="33"/>
      <c r="D649" s="33"/>
      <c r="E649" s="33"/>
      <c r="F649" s="1"/>
      <c r="G649" s="33"/>
      <c r="H649" s="33"/>
    </row>
    <row r="650" spans="1:8" ht="18">
      <c r="A650" s="33"/>
      <c r="B650" s="33"/>
      <c r="C650" s="33"/>
      <c r="D650" s="33"/>
      <c r="E650" s="33"/>
      <c r="F650" s="1"/>
      <c r="G650" s="33"/>
      <c r="H650" s="33"/>
    </row>
    <row r="651" spans="1:8" ht="18">
      <c r="A651" s="33"/>
      <c r="B651" s="33"/>
      <c r="C651" s="33"/>
      <c r="D651" s="33"/>
      <c r="E651" s="33"/>
      <c r="F651" s="1"/>
      <c r="G651" s="33"/>
      <c r="H651" s="33"/>
    </row>
    <row r="653" spans="1:8" ht="22.8">
      <c r="A653" s="302" t="s">
        <v>51</v>
      </c>
      <c r="B653" s="302"/>
      <c r="C653" s="302"/>
      <c r="D653" s="302"/>
      <c r="E653" s="302"/>
      <c r="F653" s="302"/>
      <c r="G653" s="302"/>
      <c r="H653" s="302"/>
    </row>
    <row r="654" spans="1:8" ht="22.8">
      <c r="A654" s="87"/>
      <c r="B654" s="303" t="s">
        <v>87</v>
      </c>
      <c r="C654" s="303"/>
      <c r="D654" s="303"/>
      <c r="E654" s="303"/>
      <c r="F654" s="303"/>
      <c r="G654" s="303"/>
      <c r="H654" s="303"/>
    </row>
    <row r="655" spans="1:8" ht="40.200000000000003">
      <c r="A655" s="7" t="s">
        <v>14</v>
      </c>
      <c r="B655" s="8" t="s">
        <v>15</v>
      </c>
      <c r="C655" s="9" t="s">
        <v>16</v>
      </c>
      <c r="D655" s="10" t="s">
        <v>17</v>
      </c>
      <c r="E655" s="42" t="s">
        <v>18</v>
      </c>
      <c r="F655" s="11" t="s">
        <v>4</v>
      </c>
      <c r="G655" s="7" t="s">
        <v>19</v>
      </c>
      <c r="H655" s="7" t="s">
        <v>20</v>
      </c>
    </row>
    <row r="656" spans="1:8" ht="18">
      <c r="A656" s="310">
        <v>2</v>
      </c>
      <c r="B656" s="12" t="s">
        <v>21</v>
      </c>
      <c r="C656" s="96">
        <f>E656/D656</f>
        <v>0.12</v>
      </c>
      <c r="D656" s="12">
        <v>225</v>
      </c>
      <c r="E656" s="50" t="s">
        <v>30</v>
      </c>
      <c r="F656" s="12" t="s">
        <v>1</v>
      </c>
      <c r="G656" s="13">
        <v>21525</v>
      </c>
      <c r="H656" s="14">
        <f>E656*G656</f>
        <v>581175</v>
      </c>
    </row>
    <row r="657" spans="1:8" ht="18">
      <c r="A657" s="311"/>
      <c r="B657" s="17" t="s">
        <v>5</v>
      </c>
      <c r="C657" s="99">
        <f>E657/D657</f>
        <v>7.1111111111111111E-2</v>
      </c>
      <c r="D657" s="17">
        <v>225</v>
      </c>
      <c r="E657" s="51" t="s">
        <v>88</v>
      </c>
      <c r="F657" s="17" t="s">
        <v>1</v>
      </c>
      <c r="G657" s="18">
        <v>136500</v>
      </c>
      <c r="H657" s="19">
        <f>E657*G657</f>
        <v>2184000</v>
      </c>
    </row>
    <row r="658" spans="1:8" ht="18">
      <c r="A658" s="311"/>
      <c r="B658" s="17" t="s">
        <v>31</v>
      </c>
      <c r="C658" s="99">
        <f t="shared" ref="C658:C660" si="66">E658/D658</f>
        <v>3.1111111111111109E-3</v>
      </c>
      <c r="D658" s="17">
        <v>225</v>
      </c>
      <c r="E658" s="51" t="s">
        <v>32</v>
      </c>
      <c r="F658" s="17" t="s">
        <v>1</v>
      </c>
      <c r="G658" s="18">
        <v>306600</v>
      </c>
      <c r="H658" s="19">
        <f>E658*G658</f>
        <v>214620</v>
      </c>
    </row>
    <row r="659" spans="1:8" ht="18">
      <c r="A659" s="311"/>
      <c r="B659" s="17" t="s">
        <v>33</v>
      </c>
      <c r="C659" s="99">
        <f t="shared" si="66"/>
        <v>3.6888888888888895E-2</v>
      </c>
      <c r="D659" s="17">
        <v>225</v>
      </c>
      <c r="E659" s="51" t="s">
        <v>85</v>
      </c>
      <c r="F659" s="17" t="s">
        <v>1</v>
      </c>
      <c r="G659" s="18">
        <v>67200</v>
      </c>
      <c r="H659" s="19">
        <f>E659*G659</f>
        <v>557760</v>
      </c>
    </row>
    <row r="660" spans="1:8" ht="18">
      <c r="A660" s="311"/>
      <c r="B660" s="17" t="s">
        <v>35</v>
      </c>
      <c r="C660" s="17">
        <f t="shared" si="66"/>
        <v>2.6666666666666668E-2</v>
      </c>
      <c r="D660" s="17">
        <v>225</v>
      </c>
      <c r="E660" s="51" t="s">
        <v>42</v>
      </c>
      <c r="F660" s="35" t="s">
        <v>3</v>
      </c>
      <c r="G660" s="18">
        <v>23100</v>
      </c>
      <c r="H660" s="19">
        <f>E660*G660</f>
        <v>138600</v>
      </c>
    </row>
    <row r="661" spans="1:8" ht="18">
      <c r="A661" s="311"/>
      <c r="B661" s="35" t="s">
        <v>90</v>
      </c>
      <c r="C661" s="35"/>
      <c r="D661" s="35"/>
      <c r="E661" s="52" t="s">
        <v>41</v>
      </c>
      <c r="F661" s="35" t="s">
        <v>3</v>
      </c>
      <c r="G661" s="36">
        <v>49350</v>
      </c>
      <c r="H661" s="19">
        <f t="shared" ref="H661:H662" si="67">E661*G661</f>
        <v>4935</v>
      </c>
    </row>
    <row r="662" spans="1:8" ht="18">
      <c r="A662" s="311"/>
      <c r="B662" s="35" t="s">
        <v>89</v>
      </c>
      <c r="C662" s="20"/>
      <c r="D662" s="20"/>
      <c r="E662" s="53" t="s">
        <v>41</v>
      </c>
      <c r="F662" s="35" t="s">
        <v>3</v>
      </c>
      <c r="G662" s="20">
        <v>60900</v>
      </c>
      <c r="H662" s="19">
        <f t="shared" si="67"/>
        <v>6090</v>
      </c>
    </row>
    <row r="663" spans="1:8" ht="18">
      <c r="A663" s="312"/>
      <c r="B663" s="298"/>
      <c r="C663" s="299"/>
      <c r="D663" s="299"/>
      <c r="E663" s="299"/>
      <c r="F663" s="299"/>
      <c r="G663" s="300"/>
      <c r="H663" s="26">
        <f>SUM(H656:H662)</f>
        <v>3687180</v>
      </c>
    </row>
    <row r="664" spans="1:8" ht="18">
      <c r="A664" s="310">
        <v>3</v>
      </c>
      <c r="B664" s="12" t="s">
        <v>21</v>
      </c>
      <c r="C664" s="96">
        <f>E664/D664</f>
        <v>0.12</v>
      </c>
      <c r="D664" s="17">
        <v>225</v>
      </c>
      <c r="E664" s="50" t="s">
        <v>30</v>
      </c>
      <c r="F664" s="12" t="s">
        <v>1</v>
      </c>
      <c r="G664" s="13">
        <v>21525</v>
      </c>
      <c r="H664" s="14">
        <f>E664*G664</f>
        <v>581175</v>
      </c>
    </row>
    <row r="665" spans="1:8" ht="18">
      <c r="A665" s="311"/>
      <c r="B665" s="17" t="s">
        <v>37</v>
      </c>
      <c r="C665" s="99">
        <f>E665/D665</f>
        <v>6.5333333333333327E-2</v>
      </c>
      <c r="D665" s="17">
        <v>225</v>
      </c>
      <c r="E665" s="51" t="s">
        <v>56</v>
      </c>
      <c r="F665" s="17" t="s">
        <v>1</v>
      </c>
      <c r="G665" s="18">
        <v>156600</v>
      </c>
      <c r="H665" s="19">
        <f>E665*G665</f>
        <v>2302020</v>
      </c>
    </row>
    <row r="666" spans="1:8" ht="18">
      <c r="A666" s="311"/>
      <c r="B666" s="17" t="s">
        <v>38</v>
      </c>
      <c r="C666" s="99">
        <f t="shared" ref="C666:C669" si="68">E666/D666</f>
        <v>0.57777777777777772</v>
      </c>
      <c r="D666" s="17">
        <v>225</v>
      </c>
      <c r="E666" s="54">
        <v>130</v>
      </c>
      <c r="F666" s="17" t="s">
        <v>2</v>
      </c>
      <c r="G666" s="18">
        <v>3456</v>
      </c>
      <c r="H666" s="19">
        <f>E666*G666</f>
        <v>449280</v>
      </c>
    </row>
    <row r="667" spans="1:8" ht="18">
      <c r="A667" s="311"/>
      <c r="B667" s="17" t="s">
        <v>39</v>
      </c>
      <c r="C667" s="99">
        <f t="shared" si="68"/>
        <v>8.8888888888888889E-3</v>
      </c>
      <c r="D667" s="17">
        <v>225</v>
      </c>
      <c r="E667" s="54">
        <v>2</v>
      </c>
      <c r="F667" s="17" t="s">
        <v>1</v>
      </c>
      <c r="G667" s="19">
        <v>29400</v>
      </c>
      <c r="H667" s="19">
        <f>E667*G667</f>
        <v>58800</v>
      </c>
    </row>
    <row r="668" spans="1:8" ht="18">
      <c r="A668" s="311"/>
      <c r="B668" s="17" t="s">
        <v>40</v>
      </c>
      <c r="C668" s="99">
        <f t="shared" si="68"/>
        <v>4.4444444444444444E-3</v>
      </c>
      <c r="D668" s="17">
        <v>225</v>
      </c>
      <c r="E668" s="54">
        <v>1</v>
      </c>
      <c r="F668" s="17" t="s">
        <v>1</v>
      </c>
      <c r="G668" s="19">
        <v>164850</v>
      </c>
      <c r="H668" s="19">
        <f t="shared" ref="H668:H670" si="69">E668*G668</f>
        <v>164850</v>
      </c>
    </row>
    <row r="669" spans="1:8" ht="18">
      <c r="A669" s="311"/>
      <c r="B669" s="17" t="s">
        <v>86</v>
      </c>
      <c r="C669" s="99">
        <f t="shared" si="68"/>
        <v>2.3555555555555555E-2</v>
      </c>
      <c r="D669" s="17">
        <v>225</v>
      </c>
      <c r="E669" s="56">
        <v>5.3</v>
      </c>
      <c r="F669" s="17" t="s">
        <v>1</v>
      </c>
      <c r="G669" s="18">
        <v>22050</v>
      </c>
      <c r="H669" s="19">
        <f t="shared" si="69"/>
        <v>116865</v>
      </c>
    </row>
    <row r="670" spans="1:8" ht="18">
      <c r="A670" s="311"/>
      <c r="B670" s="17" t="s">
        <v>11</v>
      </c>
      <c r="C670" s="17"/>
      <c r="D670" s="17">
        <v>225</v>
      </c>
      <c r="E670" s="51" t="s">
        <v>41</v>
      </c>
      <c r="F670" s="17" t="s">
        <v>1</v>
      </c>
      <c r="G670" s="18">
        <v>60900</v>
      </c>
      <c r="H670" s="19">
        <f t="shared" si="69"/>
        <v>6090</v>
      </c>
    </row>
    <row r="671" spans="1:8" ht="18">
      <c r="A671" s="311"/>
      <c r="B671" s="20" t="s">
        <v>53</v>
      </c>
      <c r="C671" s="20"/>
      <c r="D671" s="20">
        <v>225</v>
      </c>
      <c r="E671" s="53" t="s">
        <v>52</v>
      </c>
      <c r="F671" s="20" t="s">
        <v>1</v>
      </c>
      <c r="G671" s="32">
        <v>49350</v>
      </c>
      <c r="H671" s="22">
        <f>E671*G671</f>
        <v>9870</v>
      </c>
    </row>
    <row r="672" spans="1:8" ht="18">
      <c r="A672" s="312"/>
      <c r="B672" s="298"/>
      <c r="C672" s="299"/>
      <c r="D672" s="299"/>
      <c r="E672" s="299"/>
      <c r="F672" s="299"/>
      <c r="G672" s="300"/>
      <c r="H672" s="26">
        <f>SUM(H664:H671)</f>
        <v>3688950</v>
      </c>
    </row>
    <row r="673" spans="1:8" ht="18">
      <c r="A673" s="310">
        <v>4</v>
      </c>
      <c r="B673" s="12" t="s">
        <v>21</v>
      </c>
      <c r="C673" s="97">
        <f>E673/D673</f>
        <v>0.12</v>
      </c>
      <c r="D673" s="12">
        <v>225</v>
      </c>
      <c r="E673" s="50" t="s">
        <v>30</v>
      </c>
      <c r="F673" s="12" t="s">
        <v>1</v>
      </c>
      <c r="G673" s="13">
        <v>21525</v>
      </c>
      <c r="H673" s="14">
        <f>E673*G673</f>
        <v>581175</v>
      </c>
    </row>
    <row r="674" spans="1:8" ht="18">
      <c r="A674" s="311"/>
      <c r="B674" s="17" t="s">
        <v>92</v>
      </c>
      <c r="C674" s="99">
        <f t="shared" ref="C674:C678" si="70">E674/D674</f>
        <v>7.5555555555555556E-2</v>
      </c>
      <c r="D674" s="17">
        <v>225</v>
      </c>
      <c r="E674" s="55">
        <v>17</v>
      </c>
      <c r="F674" s="17" t="s">
        <v>1</v>
      </c>
      <c r="G674" s="18">
        <v>123900</v>
      </c>
      <c r="H674" s="19">
        <f>E674*G674</f>
        <v>2106300</v>
      </c>
    </row>
    <row r="675" spans="1:8" ht="18">
      <c r="A675" s="311"/>
      <c r="B675" s="17" t="s">
        <v>33</v>
      </c>
      <c r="C675" s="99">
        <f t="shared" si="70"/>
        <v>2.5777777777777778E-2</v>
      </c>
      <c r="D675" s="17">
        <v>225</v>
      </c>
      <c r="E675" s="51" t="s">
        <v>81</v>
      </c>
      <c r="F675" s="17" t="s">
        <v>1</v>
      </c>
      <c r="G675" s="18">
        <v>67200</v>
      </c>
      <c r="H675" s="19">
        <f>E675*G675</f>
        <v>389760</v>
      </c>
    </row>
    <row r="676" spans="1:8" ht="18">
      <c r="A676" s="311"/>
      <c r="B676" s="17" t="s">
        <v>39</v>
      </c>
      <c r="C676" s="98">
        <f t="shared" si="70"/>
        <v>1.3333333333333334E-2</v>
      </c>
      <c r="D676" s="17">
        <v>225</v>
      </c>
      <c r="E676" s="51" t="s">
        <v>43</v>
      </c>
      <c r="F676" s="17" t="s">
        <v>1</v>
      </c>
      <c r="G676" s="18">
        <v>29400</v>
      </c>
      <c r="H676" s="19">
        <f>E676*G676</f>
        <v>88200</v>
      </c>
    </row>
    <row r="677" spans="1:8" ht="18">
      <c r="A677" s="311"/>
      <c r="B677" s="17" t="s">
        <v>71</v>
      </c>
      <c r="C677" s="46">
        <f t="shared" si="70"/>
        <v>1.3333333333333334E-2</v>
      </c>
      <c r="D677" s="17">
        <v>225</v>
      </c>
      <c r="E677" s="51" t="s">
        <v>43</v>
      </c>
      <c r="F677" s="17" t="s">
        <v>1</v>
      </c>
      <c r="G677" s="18">
        <v>78750</v>
      </c>
      <c r="H677" s="19">
        <f t="shared" ref="H677:H681" si="71">E677*G677</f>
        <v>236250</v>
      </c>
    </row>
    <row r="678" spans="1:8" ht="18">
      <c r="A678" s="311"/>
      <c r="B678" s="17" t="s">
        <v>72</v>
      </c>
      <c r="C678" s="46">
        <f t="shared" si="70"/>
        <v>5.7777777777777775E-2</v>
      </c>
      <c r="D678" s="17">
        <v>225</v>
      </c>
      <c r="E678" s="51" t="s">
        <v>73</v>
      </c>
      <c r="F678" s="17" t="s">
        <v>1</v>
      </c>
      <c r="G678" s="18">
        <v>20478</v>
      </c>
      <c r="H678" s="19">
        <f t="shared" si="71"/>
        <v>266214</v>
      </c>
    </row>
    <row r="679" spans="1:8" ht="18">
      <c r="A679" s="311"/>
      <c r="B679" s="17" t="s">
        <v>74</v>
      </c>
      <c r="C679" s="46"/>
      <c r="D679" s="17">
        <v>225</v>
      </c>
      <c r="E679" s="51" t="s">
        <v>41</v>
      </c>
      <c r="F679" s="17" t="s">
        <v>1</v>
      </c>
      <c r="G679" s="18">
        <v>68040</v>
      </c>
      <c r="H679" s="19">
        <f t="shared" si="71"/>
        <v>6804</v>
      </c>
    </row>
    <row r="680" spans="1:8" ht="18">
      <c r="A680" s="311"/>
      <c r="B680" s="17" t="s">
        <v>61</v>
      </c>
      <c r="C680" s="46"/>
      <c r="D680" s="17">
        <v>225</v>
      </c>
      <c r="E680" s="51" t="s">
        <v>41</v>
      </c>
      <c r="F680" s="17" t="s">
        <v>1</v>
      </c>
      <c r="G680" s="18">
        <v>60900</v>
      </c>
      <c r="H680" s="19">
        <f t="shared" si="71"/>
        <v>6090</v>
      </c>
    </row>
    <row r="681" spans="1:8" ht="18">
      <c r="A681" s="311"/>
      <c r="B681" s="17" t="s">
        <v>91</v>
      </c>
      <c r="C681" s="46"/>
      <c r="D681" s="17">
        <v>225</v>
      </c>
      <c r="E681" s="51" t="s">
        <v>52</v>
      </c>
      <c r="F681" s="17" t="s">
        <v>1</v>
      </c>
      <c r="G681" s="18">
        <v>49350</v>
      </c>
      <c r="H681" s="19">
        <f t="shared" si="71"/>
        <v>9870</v>
      </c>
    </row>
    <row r="682" spans="1:8" ht="18">
      <c r="A682" s="311"/>
      <c r="B682" s="17"/>
      <c r="C682" s="17"/>
      <c r="D682" s="17"/>
      <c r="E682" s="54"/>
      <c r="F682" s="27"/>
      <c r="G682" s="18"/>
      <c r="H682" s="28">
        <f>SUM(H673:H681)</f>
        <v>3690663</v>
      </c>
    </row>
    <row r="683" spans="1:8" ht="18">
      <c r="A683" s="310">
        <v>5</v>
      </c>
      <c r="B683" s="12" t="s">
        <v>21</v>
      </c>
      <c r="C683" s="12">
        <v>120</v>
      </c>
      <c r="D683" s="17">
        <v>225</v>
      </c>
      <c r="E683" s="50" t="s">
        <v>30</v>
      </c>
      <c r="F683" s="12" t="s">
        <v>1</v>
      </c>
      <c r="G683" s="13">
        <v>21525</v>
      </c>
      <c r="H683" s="14">
        <f>E683*G683</f>
        <v>581175</v>
      </c>
    </row>
    <row r="684" spans="1:8" ht="18">
      <c r="A684" s="311"/>
      <c r="B684" s="37" t="s">
        <v>44</v>
      </c>
      <c r="C684" s="37">
        <v>37</v>
      </c>
      <c r="D684" s="17">
        <v>225</v>
      </c>
      <c r="E684" s="55">
        <v>8.3000000000000007</v>
      </c>
      <c r="F684" s="17" t="s">
        <v>1</v>
      </c>
      <c r="G684" s="18">
        <v>199500</v>
      </c>
      <c r="H684" s="19">
        <f>E684*G684</f>
        <v>1655850.0000000002</v>
      </c>
    </row>
    <row r="685" spans="1:8" ht="18">
      <c r="A685" s="311"/>
      <c r="B685" s="17" t="s">
        <v>92</v>
      </c>
      <c r="C685" s="17">
        <v>22</v>
      </c>
      <c r="D685" s="17">
        <v>225</v>
      </c>
      <c r="E685" s="55">
        <v>5.5</v>
      </c>
      <c r="F685" s="17" t="s">
        <v>1</v>
      </c>
      <c r="G685" s="18">
        <v>123900</v>
      </c>
      <c r="H685" s="19">
        <f t="shared" ref="H685:H692" si="72">E685*G685</f>
        <v>681450</v>
      </c>
    </row>
    <row r="686" spans="1:8" ht="18">
      <c r="A686" s="311"/>
      <c r="B686" s="17" t="s">
        <v>5</v>
      </c>
      <c r="C686" s="17"/>
      <c r="D686" s="17">
        <v>225</v>
      </c>
      <c r="E686" s="55">
        <v>1</v>
      </c>
      <c r="F686" s="17" t="s">
        <v>1</v>
      </c>
      <c r="G686" s="18">
        <v>136500</v>
      </c>
      <c r="H686" s="19">
        <f t="shared" si="72"/>
        <v>136500</v>
      </c>
    </row>
    <row r="687" spans="1:8" ht="18">
      <c r="A687" s="311"/>
      <c r="B687" s="17" t="s">
        <v>8</v>
      </c>
      <c r="C687" s="17"/>
      <c r="D687" s="17">
        <v>225</v>
      </c>
      <c r="E687" s="54">
        <v>1</v>
      </c>
      <c r="F687" s="17" t="s">
        <v>1</v>
      </c>
      <c r="G687" s="18">
        <v>36720</v>
      </c>
      <c r="H687" s="19">
        <f t="shared" si="72"/>
        <v>36720</v>
      </c>
    </row>
    <row r="688" spans="1:8" ht="18">
      <c r="A688" s="311"/>
      <c r="B688" s="17" t="s">
        <v>45</v>
      </c>
      <c r="C688" s="17">
        <v>0.68</v>
      </c>
      <c r="D688" s="17">
        <v>225</v>
      </c>
      <c r="E688" s="56">
        <v>1.5</v>
      </c>
      <c r="F688" s="17" t="s">
        <v>1</v>
      </c>
      <c r="G688" s="18">
        <v>36750</v>
      </c>
      <c r="H688" s="19">
        <f t="shared" si="72"/>
        <v>55125</v>
      </c>
    </row>
    <row r="689" spans="1:8" ht="18">
      <c r="A689" s="311"/>
      <c r="B689" s="17" t="s">
        <v>29</v>
      </c>
      <c r="C689" s="17">
        <v>37</v>
      </c>
      <c r="D689" s="17">
        <v>225</v>
      </c>
      <c r="E689" s="54">
        <v>8</v>
      </c>
      <c r="F689" s="17" t="s">
        <v>1</v>
      </c>
      <c r="G689" s="18">
        <v>47250</v>
      </c>
      <c r="H689" s="19">
        <f t="shared" si="72"/>
        <v>378000</v>
      </c>
    </row>
    <row r="690" spans="1:8" ht="18">
      <c r="A690" s="311"/>
      <c r="B690" s="17" t="s">
        <v>11</v>
      </c>
      <c r="C690" s="17"/>
      <c r="D690" s="17"/>
      <c r="E690" s="56">
        <v>0.1</v>
      </c>
      <c r="F690" s="17" t="s">
        <v>1</v>
      </c>
      <c r="G690" s="18">
        <v>60900</v>
      </c>
      <c r="H690" s="19">
        <f t="shared" si="72"/>
        <v>6090</v>
      </c>
    </row>
    <row r="691" spans="1:8" ht="18">
      <c r="A691" s="311"/>
      <c r="B691" s="17" t="s">
        <v>46</v>
      </c>
      <c r="C691" s="17"/>
      <c r="D691" s="17"/>
      <c r="E691" s="56">
        <v>0.1</v>
      </c>
      <c r="F691" s="17" t="s">
        <v>1</v>
      </c>
      <c r="G691" s="36">
        <v>49350</v>
      </c>
      <c r="H691" s="19">
        <f t="shared" si="72"/>
        <v>4935</v>
      </c>
    </row>
    <row r="692" spans="1:8" ht="18">
      <c r="A692" s="311"/>
      <c r="B692" s="17" t="s">
        <v>93</v>
      </c>
      <c r="C692" s="17"/>
      <c r="D692" s="17">
        <v>225</v>
      </c>
      <c r="E692" s="75">
        <v>8</v>
      </c>
      <c r="F692" s="67" t="s">
        <v>1</v>
      </c>
      <c r="G692" s="71">
        <v>18900</v>
      </c>
      <c r="H692" s="72">
        <f t="shared" si="72"/>
        <v>151200</v>
      </c>
    </row>
    <row r="693" spans="1:8" ht="18">
      <c r="A693" s="312"/>
      <c r="B693" s="20"/>
      <c r="C693" s="20"/>
      <c r="D693" s="20"/>
      <c r="E693" s="53"/>
      <c r="F693" s="21"/>
      <c r="G693" s="20"/>
      <c r="H693" s="22"/>
    </row>
    <row r="694" spans="1:8" ht="18">
      <c r="A694" s="29"/>
      <c r="B694" s="23"/>
      <c r="C694" s="24"/>
      <c r="D694" s="24"/>
      <c r="E694" s="45"/>
      <c r="F694" s="24"/>
      <c r="G694" s="25"/>
      <c r="H694" s="26">
        <f>SUM(H683:H693)</f>
        <v>3687045</v>
      </c>
    </row>
    <row r="695" spans="1:8" ht="18">
      <c r="A695" s="310">
        <v>6</v>
      </c>
      <c r="B695" s="12" t="s">
        <v>21</v>
      </c>
      <c r="C695" s="64">
        <f>E695/D695</f>
        <v>0.12</v>
      </c>
      <c r="D695" s="17">
        <v>225</v>
      </c>
      <c r="E695" s="50" t="s">
        <v>30</v>
      </c>
      <c r="F695" s="12" t="s">
        <v>1</v>
      </c>
      <c r="G695" s="13">
        <v>21525</v>
      </c>
      <c r="H695" s="38">
        <f>E695*G695</f>
        <v>581175</v>
      </c>
    </row>
    <row r="696" spans="1:8" ht="18">
      <c r="A696" s="311"/>
      <c r="B696" s="15" t="s">
        <v>47</v>
      </c>
      <c r="C696" s="46">
        <f t="shared" ref="C696:C701" si="73">E696/D696</f>
        <v>5.1555555555555556E-2</v>
      </c>
      <c r="D696" s="17">
        <v>225</v>
      </c>
      <c r="E696" s="57" t="s">
        <v>57</v>
      </c>
      <c r="F696" s="17" t="s">
        <v>1</v>
      </c>
      <c r="G696" s="39">
        <v>167400</v>
      </c>
      <c r="H696" s="19">
        <f>E696*G696</f>
        <v>1941840</v>
      </c>
    </row>
    <row r="697" spans="1:8" ht="18">
      <c r="A697" s="311"/>
      <c r="B697" s="15" t="s">
        <v>48</v>
      </c>
      <c r="C697" s="65">
        <f t="shared" si="73"/>
        <v>4.4888888888888888E-2</v>
      </c>
      <c r="D697" s="17">
        <v>225</v>
      </c>
      <c r="E697" s="57" t="s">
        <v>49</v>
      </c>
      <c r="F697" s="17" t="s">
        <v>1</v>
      </c>
      <c r="G697" s="39">
        <v>82950</v>
      </c>
      <c r="H697" s="19">
        <f t="shared" ref="H697:H701" si="74">E697*G697</f>
        <v>837795</v>
      </c>
    </row>
    <row r="698" spans="1:8" ht="18">
      <c r="A698" s="311"/>
      <c r="B698" s="15" t="s">
        <v>5</v>
      </c>
      <c r="C698" s="65">
        <f t="shared" si="73"/>
        <v>4.4444444444444444E-3</v>
      </c>
      <c r="D698" s="17">
        <v>225</v>
      </c>
      <c r="E698" s="55">
        <v>1</v>
      </c>
      <c r="F698" s="17" t="s">
        <v>1</v>
      </c>
      <c r="G698" s="18">
        <v>136500</v>
      </c>
      <c r="H698" s="19">
        <f t="shared" si="74"/>
        <v>136500</v>
      </c>
    </row>
    <row r="699" spans="1:8" ht="18">
      <c r="A699" s="311"/>
      <c r="B699" s="17" t="s">
        <v>50</v>
      </c>
      <c r="C699" s="65">
        <f t="shared" si="73"/>
        <v>4.4444444444444447E-4</v>
      </c>
      <c r="D699" s="17">
        <v>225</v>
      </c>
      <c r="E699" s="56">
        <v>0.1</v>
      </c>
      <c r="F699" s="17" t="s">
        <v>1</v>
      </c>
      <c r="G699" s="18">
        <v>49350</v>
      </c>
      <c r="H699" s="16">
        <f t="shared" si="74"/>
        <v>4935</v>
      </c>
    </row>
    <row r="700" spans="1:8" ht="18">
      <c r="A700" s="311"/>
      <c r="B700" s="15" t="s">
        <v>11</v>
      </c>
      <c r="C700" s="65">
        <f t="shared" si="73"/>
        <v>4.4444444444444447E-4</v>
      </c>
      <c r="D700" s="17">
        <v>225</v>
      </c>
      <c r="E700" s="56">
        <v>0.1</v>
      </c>
      <c r="F700" s="17" t="s">
        <v>1</v>
      </c>
      <c r="G700" s="18">
        <v>60900</v>
      </c>
      <c r="H700" s="16">
        <f t="shared" si="74"/>
        <v>6090</v>
      </c>
    </row>
    <row r="701" spans="1:8" ht="18">
      <c r="A701" s="311"/>
      <c r="B701" s="15" t="s">
        <v>94</v>
      </c>
      <c r="C701" s="65">
        <f t="shared" si="73"/>
        <v>3.5555555555555556E-2</v>
      </c>
      <c r="D701" s="17">
        <v>225</v>
      </c>
      <c r="E701" s="67">
        <v>8</v>
      </c>
      <c r="F701" s="17" t="s">
        <v>1</v>
      </c>
      <c r="G701" s="71">
        <v>23100</v>
      </c>
      <c r="H701" s="19">
        <f t="shared" si="74"/>
        <v>184800</v>
      </c>
    </row>
    <row r="702" spans="1:8" ht="18">
      <c r="A702" s="2"/>
      <c r="B702" s="2"/>
      <c r="C702" s="2"/>
      <c r="D702" s="2"/>
      <c r="E702" s="58"/>
      <c r="F702" s="5"/>
      <c r="G702" s="2"/>
      <c r="H702" s="26">
        <f>SUM(H695:H701)</f>
        <v>3693135</v>
      </c>
    </row>
    <row r="703" spans="1:8" ht="18">
      <c r="A703" s="313" t="s">
        <v>26</v>
      </c>
      <c r="B703" s="313"/>
      <c r="C703" s="313" t="s">
        <v>27</v>
      </c>
      <c r="D703" s="313"/>
      <c r="E703" s="313"/>
      <c r="F703" s="1"/>
      <c r="G703" s="277" t="s">
        <v>54</v>
      </c>
      <c r="H703" s="277"/>
    </row>
    <row r="723" spans="1:8" ht="15.6">
      <c r="A723" s="6" t="s">
        <v>0</v>
      </c>
      <c r="B723" s="6"/>
    </row>
    <row r="724" spans="1:8" ht="26.4" customHeight="1">
      <c r="A724" s="302" t="s">
        <v>51</v>
      </c>
      <c r="B724" s="302"/>
      <c r="C724" s="302"/>
      <c r="D724" s="302"/>
      <c r="E724" s="302"/>
      <c r="F724" s="302"/>
      <c r="G724" s="302"/>
      <c r="H724" s="302"/>
    </row>
    <row r="725" spans="1:8" ht="26.4" customHeight="1">
      <c r="A725" s="87"/>
      <c r="B725" s="303" t="s">
        <v>79</v>
      </c>
      <c r="C725" s="303"/>
      <c r="D725" s="303"/>
      <c r="E725" s="303"/>
      <c r="F725" s="303"/>
      <c r="G725" s="303"/>
      <c r="H725" s="303"/>
    </row>
    <row r="726" spans="1:8" ht="40.200000000000003">
      <c r="A726" s="7" t="s">
        <v>14</v>
      </c>
      <c r="B726" s="8" t="s">
        <v>15</v>
      </c>
      <c r="C726" s="9" t="s">
        <v>16</v>
      </c>
      <c r="D726" s="10" t="s">
        <v>17</v>
      </c>
      <c r="E726" s="61" t="s">
        <v>18</v>
      </c>
      <c r="F726" s="11" t="s">
        <v>4</v>
      </c>
      <c r="G726" s="7" t="s">
        <v>19</v>
      </c>
      <c r="H726" s="7" t="s">
        <v>20</v>
      </c>
    </row>
    <row r="727" spans="1:8" ht="18">
      <c r="A727" s="310">
        <v>2</v>
      </c>
      <c r="B727" s="2" t="s">
        <v>21</v>
      </c>
      <c r="C727" s="48">
        <v>120</v>
      </c>
      <c r="D727" s="2">
        <v>227</v>
      </c>
      <c r="E727" s="92" t="s">
        <v>60</v>
      </c>
      <c r="F727" s="2" t="s">
        <v>1</v>
      </c>
      <c r="G727" s="4">
        <v>21525</v>
      </c>
      <c r="H727" s="5">
        <f t="shared" ref="H727:H734" si="75">E727*G727</f>
        <v>585480</v>
      </c>
    </row>
    <row r="728" spans="1:8" ht="18">
      <c r="A728" s="311"/>
      <c r="B728" s="90" t="s">
        <v>58</v>
      </c>
      <c r="C728" s="40">
        <v>63</v>
      </c>
      <c r="D728" s="15">
        <v>227</v>
      </c>
      <c r="E728" s="91" t="s">
        <v>66</v>
      </c>
      <c r="F728" s="15" t="s">
        <v>1</v>
      </c>
      <c r="G728" s="83">
        <v>156600</v>
      </c>
      <c r="H728" s="16">
        <f t="shared" si="75"/>
        <v>1800900</v>
      </c>
    </row>
    <row r="729" spans="1:8" ht="18">
      <c r="A729" s="311"/>
      <c r="B729" s="85" t="s">
        <v>59</v>
      </c>
      <c r="C729" s="41">
        <v>0.3</v>
      </c>
      <c r="D729" s="17">
        <v>227</v>
      </c>
      <c r="E729" s="89" t="s">
        <v>64</v>
      </c>
      <c r="F729" s="17" t="s">
        <v>1</v>
      </c>
      <c r="G729" s="71">
        <v>21000</v>
      </c>
      <c r="H729" s="19">
        <f t="shared" si="75"/>
        <v>294000</v>
      </c>
    </row>
    <row r="730" spans="1:8" ht="18">
      <c r="A730" s="311"/>
      <c r="B730" s="84" t="s">
        <v>80</v>
      </c>
      <c r="C730" s="41">
        <v>37</v>
      </c>
      <c r="D730" s="17">
        <v>227</v>
      </c>
      <c r="E730" s="89" t="s">
        <v>67</v>
      </c>
      <c r="F730" s="17" t="s">
        <v>1</v>
      </c>
      <c r="G730" s="71">
        <v>125580</v>
      </c>
      <c r="H730" s="19">
        <f t="shared" si="75"/>
        <v>778596</v>
      </c>
    </row>
    <row r="731" spans="1:8" ht="18">
      <c r="A731" s="311"/>
      <c r="B731" s="84" t="s">
        <v>5</v>
      </c>
      <c r="C731" s="41"/>
      <c r="D731" s="17">
        <v>227</v>
      </c>
      <c r="E731" s="89" t="s">
        <v>25</v>
      </c>
      <c r="F731" s="17" t="s">
        <v>1</v>
      </c>
      <c r="G731" s="18">
        <v>136500</v>
      </c>
      <c r="H731" s="19">
        <f t="shared" si="75"/>
        <v>136500</v>
      </c>
    </row>
    <row r="732" spans="1:8" ht="18">
      <c r="A732" s="311"/>
      <c r="B732" s="84" t="s">
        <v>68</v>
      </c>
      <c r="C732" s="46"/>
      <c r="D732" s="17">
        <v>227</v>
      </c>
      <c r="E732" s="43" t="s">
        <v>41</v>
      </c>
      <c r="F732" s="17" t="s">
        <v>1</v>
      </c>
      <c r="G732" s="18">
        <v>49350</v>
      </c>
      <c r="H732" s="19">
        <f t="shared" si="75"/>
        <v>4935</v>
      </c>
    </row>
    <row r="733" spans="1:8" ht="18">
      <c r="A733" s="311"/>
      <c r="B733" s="84" t="s">
        <v>69</v>
      </c>
      <c r="C733" s="65"/>
      <c r="D733" s="17"/>
      <c r="E733" s="62" t="s">
        <v>41</v>
      </c>
      <c r="F733" s="17" t="s">
        <v>1</v>
      </c>
      <c r="G733" s="36">
        <v>60900</v>
      </c>
      <c r="H733" s="19">
        <f t="shared" si="75"/>
        <v>6090</v>
      </c>
    </row>
    <row r="734" spans="1:8" ht="18">
      <c r="A734" s="311"/>
      <c r="B734" s="84" t="s">
        <v>65</v>
      </c>
      <c r="C734" s="47"/>
      <c r="D734" s="17">
        <v>227</v>
      </c>
      <c r="E734" s="62" t="s">
        <v>63</v>
      </c>
      <c r="F734" s="17" t="s">
        <v>1</v>
      </c>
      <c r="G734" s="36">
        <v>22050</v>
      </c>
      <c r="H734" s="19">
        <f t="shared" si="75"/>
        <v>110250</v>
      </c>
    </row>
    <row r="735" spans="1:8" ht="18">
      <c r="A735" s="312"/>
      <c r="B735" s="298"/>
      <c r="C735" s="299"/>
      <c r="D735" s="299"/>
      <c r="E735" s="299"/>
      <c r="F735" s="299"/>
      <c r="G735" s="300"/>
      <c r="H735" s="26">
        <f>SUM(H727:H734)</f>
        <v>3716751</v>
      </c>
    </row>
    <row r="736" spans="1:8" ht="18">
      <c r="A736" s="310">
        <v>3</v>
      </c>
      <c r="B736" s="12" t="s">
        <v>21</v>
      </c>
      <c r="C736" s="59">
        <f>E736/D736</f>
        <v>0.11938325991189427</v>
      </c>
      <c r="D736" s="12">
        <v>227</v>
      </c>
      <c r="E736" s="50" t="s">
        <v>55</v>
      </c>
      <c r="F736" s="12" t="s">
        <v>1</v>
      </c>
      <c r="G736" s="13">
        <v>21525</v>
      </c>
      <c r="H736" s="14">
        <f>E736*G736</f>
        <v>583327.5</v>
      </c>
    </row>
    <row r="737" spans="1:8" ht="18">
      <c r="A737" s="311"/>
      <c r="B737" s="17" t="s">
        <v>5</v>
      </c>
      <c r="C737" s="46">
        <f>E737/D737</f>
        <v>6.5198237885462557E-2</v>
      </c>
      <c r="D737" s="17">
        <v>227</v>
      </c>
      <c r="E737" s="51" t="s">
        <v>82</v>
      </c>
      <c r="F737" s="17" t="s">
        <v>1</v>
      </c>
      <c r="G737" s="18">
        <v>136500</v>
      </c>
      <c r="H737" s="19">
        <f>E737*G737</f>
        <v>2020200</v>
      </c>
    </row>
    <row r="738" spans="1:8" ht="18">
      <c r="A738" s="311"/>
      <c r="B738" s="17" t="s">
        <v>31</v>
      </c>
      <c r="C738" s="46">
        <f t="shared" ref="C738:C740" si="76">E738/D738</f>
        <v>3.083700440528634E-3</v>
      </c>
      <c r="D738" s="17">
        <v>227</v>
      </c>
      <c r="E738" s="51" t="s">
        <v>32</v>
      </c>
      <c r="F738" s="17" t="s">
        <v>1</v>
      </c>
      <c r="G738" s="18">
        <v>306600</v>
      </c>
      <c r="H738" s="19">
        <f t="shared" ref="H738:H743" si="77">E738*G738</f>
        <v>214620</v>
      </c>
    </row>
    <row r="739" spans="1:8" ht="18">
      <c r="A739" s="311"/>
      <c r="B739" s="17" t="s">
        <v>33</v>
      </c>
      <c r="C739" s="46">
        <f t="shared" si="76"/>
        <v>3.612334801762114E-2</v>
      </c>
      <c r="D739" s="17">
        <v>227</v>
      </c>
      <c r="E739" s="51" t="s">
        <v>34</v>
      </c>
      <c r="F739" s="17" t="s">
        <v>1</v>
      </c>
      <c r="G739" s="18">
        <v>67200</v>
      </c>
      <c r="H739" s="19">
        <f t="shared" si="77"/>
        <v>551040</v>
      </c>
    </row>
    <row r="740" spans="1:8" ht="18">
      <c r="A740" s="311"/>
      <c r="B740" s="17" t="s">
        <v>5</v>
      </c>
      <c r="C740" s="46">
        <f t="shared" si="76"/>
        <v>4.4052863436123352E-3</v>
      </c>
      <c r="D740" s="17">
        <v>227</v>
      </c>
      <c r="E740" s="44">
        <v>1</v>
      </c>
      <c r="F740" s="17" t="s">
        <v>1</v>
      </c>
      <c r="G740" s="19">
        <v>136500</v>
      </c>
      <c r="H740" s="19">
        <f t="shared" si="77"/>
        <v>136500</v>
      </c>
    </row>
    <row r="741" spans="1:8" ht="18">
      <c r="A741" s="311"/>
      <c r="B741" s="17" t="s">
        <v>70</v>
      </c>
      <c r="C741" s="41"/>
      <c r="D741" s="17">
        <v>227</v>
      </c>
      <c r="E741" s="44">
        <v>8</v>
      </c>
      <c r="F741" s="17" t="s">
        <v>1</v>
      </c>
      <c r="G741" s="18">
        <v>23100</v>
      </c>
      <c r="H741" s="19">
        <f t="shared" si="77"/>
        <v>184800</v>
      </c>
    </row>
    <row r="742" spans="1:8" ht="18">
      <c r="A742" s="311"/>
      <c r="B742" s="17" t="s">
        <v>11</v>
      </c>
      <c r="C742" s="41"/>
      <c r="D742" s="17"/>
      <c r="E742" s="43" t="s">
        <v>41</v>
      </c>
      <c r="F742" s="17" t="s">
        <v>1</v>
      </c>
      <c r="G742" s="18">
        <v>60900</v>
      </c>
      <c r="H742" s="19">
        <f t="shared" si="77"/>
        <v>6090</v>
      </c>
    </row>
    <row r="743" spans="1:8" ht="18">
      <c r="A743" s="311"/>
      <c r="B743" s="20" t="s">
        <v>36</v>
      </c>
      <c r="C743" s="47"/>
      <c r="D743" s="17"/>
      <c r="E743" s="62" t="s">
        <v>41</v>
      </c>
      <c r="F743" s="17" t="s">
        <v>1</v>
      </c>
      <c r="G743" s="36">
        <v>49350</v>
      </c>
      <c r="H743" s="19">
        <f t="shared" si="77"/>
        <v>4935</v>
      </c>
    </row>
    <row r="744" spans="1:8" ht="18">
      <c r="A744" s="312"/>
      <c r="B744" s="298"/>
      <c r="C744" s="299"/>
      <c r="D744" s="299"/>
      <c r="E744" s="299"/>
      <c r="F744" s="299"/>
      <c r="G744" s="300"/>
      <c r="H744" s="26">
        <f>SUM(H736:H743)</f>
        <v>3701512.5</v>
      </c>
    </row>
    <row r="745" spans="1:8" ht="18">
      <c r="A745" s="310">
        <v>4</v>
      </c>
      <c r="B745" s="12" t="s">
        <v>21</v>
      </c>
      <c r="C745" s="59">
        <f>E745/D745</f>
        <v>0.11894273127753303</v>
      </c>
      <c r="D745" s="12">
        <v>227</v>
      </c>
      <c r="E745" s="50" t="s">
        <v>30</v>
      </c>
      <c r="F745" s="12" t="s">
        <v>1</v>
      </c>
      <c r="G745" s="13">
        <v>21525</v>
      </c>
      <c r="H745" s="14">
        <f>E745*G745</f>
        <v>581175</v>
      </c>
    </row>
    <row r="746" spans="1:8" ht="18">
      <c r="A746" s="311"/>
      <c r="B746" s="17" t="s">
        <v>80</v>
      </c>
      <c r="C746" s="46">
        <f>E746/D746</f>
        <v>7.4889867841409691E-2</v>
      </c>
      <c r="D746" s="17">
        <v>227</v>
      </c>
      <c r="E746" s="55">
        <v>17</v>
      </c>
      <c r="F746" s="17" t="s">
        <v>1</v>
      </c>
      <c r="G746" s="18">
        <v>123900</v>
      </c>
      <c r="H746" s="19">
        <f>E746*G746</f>
        <v>2106300</v>
      </c>
    </row>
    <row r="747" spans="1:8" ht="18">
      <c r="A747" s="311"/>
      <c r="B747" s="17" t="s">
        <v>33</v>
      </c>
      <c r="C747" s="46">
        <f t="shared" ref="C747:C750" si="78">E747/D747</f>
        <v>2.5550660792951541E-2</v>
      </c>
      <c r="D747" s="17">
        <v>227</v>
      </c>
      <c r="E747" s="51" t="s">
        <v>81</v>
      </c>
      <c r="F747" s="17" t="s">
        <v>1</v>
      </c>
      <c r="G747" s="18">
        <v>67200</v>
      </c>
      <c r="H747" s="19">
        <f>E747*G747</f>
        <v>389760</v>
      </c>
    </row>
    <row r="748" spans="1:8" ht="18">
      <c r="A748" s="311"/>
      <c r="B748" s="17" t="s">
        <v>39</v>
      </c>
      <c r="C748" s="46">
        <f t="shared" si="78"/>
        <v>1.3215859030837005E-2</v>
      </c>
      <c r="D748" s="17">
        <v>227</v>
      </c>
      <c r="E748" s="51" t="s">
        <v>43</v>
      </c>
      <c r="F748" s="17" t="s">
        <v>1</v>
      </c>
      <c r="G748" s="18">
        <v>29400</v>
      </c>
      <c r="H748" s="19">
        <f>E748*G748</f>
        <v>88200</v>
      </c>
    </row>
    <row r="749" spans="1:8" ht="18">
      <c r="A749" s="311"/>
      <c r="B749" s="17" t="s">
        <v>71</v>
      </c>
      <c r="C749" s="46">
        <f t="shared" si="78"/>
        <v>1.3215859030837005E-2</v>
      </c>
      <c r="D749" s="17">
        <v>227</v>
      </c>
      <c r="E749" s="51" t="s">
        <v>43</v>
      </c>
      <c r="F749" s="17" t="s">
        <v>1</v>
      </c>
      <c r="G749" s="18">
        <v>78750</v>
      </c>
      <c r="H749" s="19">
        <f t="shared" ref="H749:H753" si="79">E749*G749</f>
        <v>236250</v>
      </c>
    </row>
    <row r="750" spans="1:8" ht="18">
      <c r="A750" s="311"/>
      <c r="B750" s="17" t="s">
        <v>72</v>
      </c>
      <c r="C750" s="46">
        <f t="shared" si="78"/>
        <v>5.7268722466960353E-2</v>
      </c>
      <c r="D750" s="17">
        <v>227</v>
      </c>
      <c r="E750" s="51" t="s">
        <v>73</v>
      </c>
      <c r="F750" s="17" t="s">
        <v>1</v>
      </c>
      <c r="G750" s="18">
        <v>20478</v>
      </c>
      <c r="H750" s="19">
        <f t="shared" si="79"/>
        <v>266214</v>
      </c>
    </row>
    <row r="751" spans="1:8" ht="18">
      <c r="A751" s="311"/>
      <c r="B751" s="17" t="s">
        <v>74</v>
      </c>
      <c r="C751" s="46"/>
      <c r="D751" s="17">
        <v>227</v>
      </c>
      <c r="E751" s="51" t="s">
        <v>41</v>
      </c>
      <c r="F751" s="17" t="s">
        <v>1</v>
      </c>
      <c r="G751" s="18">
        <v>68040</v>
      </c>
      <c r="H751" s="19">
        <f t="shared" si="79"/>
        <v>6804</v>
      </c>
    </row>
    <row r="752" spans="1:8" ht="18">
      <c r="A752" s="311"/>
      <c r="B752" s="17" t="s">
        <v>61</v>
      </c>
      <c r="C752" s="46"/>
      <c r="D752" s="17">
        <v>227</v>
      </c>
      <c r="E752" s="51" t="s">
        <v>41</v>
      </c>
      <c r="F752" s="17" t="s">
        <v>1</v>
      </c>
      <c r="G752" s="18">
        <v>60900</v>
      </c>
      <c r="H752" s="19">
        <f t="shared" si="79"/>
        <v>6090</v>
      </c>
    </row>
    <row r="753" spans="1:8" ht="18">
      <c r="A753" s="311"/>
      <c r="B753" s="17" t="s">
        <v>75</v>
      </c>
      <c r="C753" s="46"/>
      <c r="D753" s="17">
        <v>227</v>
      </c>
      <c r="E753" s="51" t="s">
        <v>41</v>
      </c>
      <c r="F753" s="17" t="s">
        <v>1</v>
      </c>
      <c r="G753" s="18">
        <v>49350</v>
      </c>
      <c r="H753" s="19">
        <f t="shared" si="79"/>
        <v>4935</v>
      </c>
    </row>
    <row r="754" spans="1:8" ht="18">
      <c r="A754" s="311"/>
      <c r="B754" s="17"/>
      <c r="C754" s="41"/>
      <c r="D754" s="20"/>
      <c r="E754" s="27"/>
      <c r="F754" s="27"/>
      <c r="G754" s="18"/>
      <c r="H754" s="28">
        <f>SUM(H745:H753)</f>
        <v>3685728</v>
      </c>
    </row>
    <row r="755" spans="1:8" s="31" customFormat="1" ht="18">
      <c r="A755" s="308">
        <v>5</v>
      </c>
      <c r="B755" s="12" t="s">
        <v>21</v>
      </c>
      <c r="C755" s="59">
        <f>E755/D755</f>
        <v>0.1200892857142857</v>
      </c>
      <c r="D755" s="67">
        <v>224</v>
      </c>
      <c r="E755" s="50" t="s">
        <v>83</v>
      </c>
      <c r="F755" s="66" t="s">
        <v>1</v>
      </c>
      <c r="G755" s="13">
        <v>21525</v>
      </c>
      <c r="H755" s="69">
        <f>E755*G755</f>
        <v>579022.5</v>
      </c>
    </row>
    <row r="756" spans="1:8" s="31" customFormat="1" ht="18">
      <c r="A756" s="309"/>
      <c r="B756" s="37" t="s">
        <v>44</v>
      </c>
      <c r="C756" s="46">
        <f>E756/D756</f>
        <v>3.6160714285714282E-2</v>
      </c>
      <c r="D756" s="67">
        <v>224</v>
      </c>
      <c r="E756" s="55">
        <v>8.1</v>
      </c>
      <c r="F756" s="67" t="s">
        <v>1</v>
      </c>
      <c r="G756" s="18">
        <v>199500</v>
      </c>
      <c r="H756" s="72">
        <f>E756*G756</f>
        <v>1615950</v>
      </c>
    </row>
    <row r="757" spans="1:8" s="31" customFormat="1" ht="18">
      <c r="A757" s="309"/>
      <c r="B757" s="17" t="s">
        <v>5</v>
      </c>
      <c r="C757" s="46">
        <f t="shared" ref="C757:C760" si="80">E757/D757</f>
        <v>2.7232142857142854E-2</v>
      </c>
      <c r="D757" s="67">
        <v>224</v>
      </c>
      <c r="E757" s="55">
        <v>6.1</v>
      </c>
      <c r="F757" s="67" t="s">
        <v>1</v>
      </c>
      <c r="G757" s="18">
        <v>136500</v>
      </c>
      <c r="H757" s="72">
        <f t="shared" ref="H757:H763" si="81">E757*G757</f>
        <v>832650</v>
      </c>
    </row>
    <row r="758" spans="1:8" s="31" customFormat="1" ht="18">
      <c r="A758" s="309"/>
      <c r="B758" s="17" t="s">
        <v>8</v>
      </c>
      <c r="C758" s="46">
        <f t="shared" si="80"/>
        <v>4.464285714285714E-3</v>
      </c>
      <c r="D758" s="67">
        <v>224</v>
      </c>
      <c r="E758" s="54">
        <v>1</v>
      </c>
      <c r="F758" s="67" t="s">
        <v>1</v>
      </c>
      <c r="G758" s="18">
        <v>36720</v>
      </c>
      <c r="H758" s="72">
        <f t="shared" si="81"/>
        <v>36720</v>
      </c>
    </row>
    <row r="759" spans="1:8" s="31" customFormat="1" ht="18">
      <c r="A759" s="309"/>
      <c r="B759" s="17" t="s">
        <v>45</v>
      </c>
      <c r="C759" s="46">
        <f t="shared" si="80"/>
        <v>6.6964285714285711E-3</v>
      </c>
      <c r="D759" s="67">
        <v>224</v>
      </c>
      <c r="E759" s="56">
        <v>1.5</v>
      </c>
      <c r="F759" s="67" t="s">
        <v>1</v>
      </c>
      <c r="G759" s="18">
        <v>36750</v>
      </c>
      <c r="H759" s="72">
        <f t="shared" si="81"/>
        <v>55125</v>
      </c>
    </row>
    <row r="760" spans="1:8" s="31" customFormat="1" ht="18">
      <c r="A760" s="309"/>
      <c r="B760" s="17" t="s">
        <v>29</v>
      </c>
      <c r="C760" s="46">
        <f t="shared" si="80"/>
        <v>3.6607142857142852E-2</v>
      </c>
      <c r="D760" s="67">
        <v>224</v>
      </c>
      <c r="E760" s="54">
        <v>8.1999999999999993</v>
      </c>
      <c r="F760" s="67" t="s">
        <v>1</v>
      </c>
      <c r="G760" s="18">
        <v>47250</v>
      </c>
      <c r="H760" s="72">
        <f t="shared" si="81"/>
        <v>387449.99999999994</v>
      </c>
    </row>
    <row r="761" spans="1:8" s="31" customFormat="1" ht="18">
      <c r="A761" s="309"/>
      <c r="B761" s="17" t="s">
        <v>11</v>
      </c>
      <c r="C761" s="74"/>
      <c r="D761" s="67"/>
      <c r="E761" s="56">
        <v>0.1</v>
      </c>
      <c r="F761" s="67" t="s">
        <v>1</v>
      </c>
      <c r="G761" s="18">
        <v>60900</v>
      </c>
      <c r="H761" s="72">
        <f t="shared" si="81"/>
        <v>6090</v>
      </c>
    </row>
    <row r="762" spans="1:8" s="31" customFormat="1" ht="18">
      <c r="A762" s="309"/>
      <c r="B762" s="17" t="s">
        <v>46</v>
      </c>
      <c r="C762" s="74"/>
      <c r="D762" s="67"/>
      <c r="E762" s="56">
        <v>0.1</v>
      </c>
      <c r="F762" s="67" t="s">
        <v>1</v>
      </c>
      <c r="G762" s="36">
        <v>49350</v>
      </c>
      <c r="H762" s="72">
        <f t="shared" si="81"/>
        <v>4935</v>
      </c>
    </row>
    <row r="763" spans="1:8" s="31" customFormat="1" ht="18">
      <c r="A763" s="309"/>
      <c r="B763" s="17" t="s">
        <v>76</v>
      </c>
      <c r="C763" s="74"/>
      <c r="D763" s="67"/>
      <c r="E763" s="75">
        <v>8</v>
      </c>
      <c r="F763" s="67" t="s">
        <v>1</v>
      </c>
      <c r="G763" s="71">
        <v>18900</v>
      </c>
      <c r="H763" s="72">
        <f t="shared" si="81"/>
        <v>151200</v>
      </c>
    </row>
    <row r="764" spans="1:8" s="31" customFormat="1" ht="18">
      <c r="A764" s="76"/>
      <c r="B764" s="77"/>
      <c r="C764" s="78"/>
      <c r="D764" s="78"/>
      <c r="E764" s="79"/>
      <c r="F764" s="78"/>
      <c r="G764" s="80"/>
      <c r="H764" s="81">
        <f>SUM(H755:H763)</f>
        <v>3669142.5</v>
      </c>
    </row>
    <row r="765" spans="1:8" s="31" customFormat="1" ht="18">
      <c r="A765" s="308">
        <v>6</v>
      </c>
      <c r="B765" s="66" t="s">
        <v>21</v>
      </c>
      <c r="C765" s="59">
        <f>E765/D765</f>
        <v>0.1200892857142857</v>
      </c>
      <c r="D765" s="67">
        <v>224</v>
      </c>
      <c r="E765" s="88" t="s">
        <v>83</v>
      </c>
      <c r="F765" s="67" t="s">
        <v>1</v>
      </c>
      <c r="G765" s="68">
        <v>21525</v>
      </c>
      <c r="H765" s="38">
        <f>E765*G765</f>
        <v>579022.5</v>
      </c>
    </row>
    <row r="766" spans="1:8" s="31" customFormat="1" ht="18">
      <c r="A766" s="309"/>
      <c r="B766" s="67" t="s">
        <v>9</v>
      </c>
      <c r="C766" s="46">
        <f>E766/D766</f>
        <v>7.6339285714285721E-2</v>
      </c>
      <c r="D766" s="67">
        <v>224</v>
      </c>
      <c r="E766" s="67">
        <v>17.100000000000001</v>
      </c>
      <c r="F766" s="67" t="s">
        <v>1</v>
      </c>
      <c r="G766" s="71">
        <v>131250</v>
      </c>
      <c r="H766" s="19">
        <f>E766*G766</f>
        <v>2244375</v>
      </c>
    </row>
    <row r="767" spans="1:8" s="31" customFormat="1" ht="18">
      <c r="A767" s="309"/>
      <c r="B767" s="67" t="s">
        <v>6</v>
      </c>
      <c r="C767" s="46">
        <f t="shared" ref="C767:C771" si="82">E767/D767</f>
        <v>0.5758928571428571</v>
      </c>
      <c r="D767" s="67">
        <v>224</v>
      </c>
      <c r="E767" s="67">
        <v>129</v>
      </c>
      <c r="F767" s="67" t="s">
        <v>1</v>
      </c>
      <c r="G767" s="71">
        <v>3672</v>
      </c>
      <c r="H767" s="19">
        <f t="shared" ref="H767:H772" si="83">E767*G767</f>
        <v>473688</v>
      </c>
    </row>
    <row r="768" spans="1:8" s="31" customFormat="1" ht="18">
      <c r="A768" s="309"/>
      <c r="B768" s="67" t="s">
        <v>5</v>
      </c>
      <c r="C768" s="46">
        <f t="shared" si="82"/>
        <v>4.464285714285714E-3</v>
      </c>
      <c r="D768" s="67">
        <v>224</v>
      </c>
      <c r="E768" s="67">
        <v>1</v>
      </c>
      <c r="F768" s="67" t="s">
        <v>1</v>
      </c>
      <c r="G768" s="71">
        <v>136500</v>
      </c>
      <c r="H768" s="19">
        <f t="shared" si="83"/>
        <v>136500</v>
      </c>
    </row>
    <row r="769" spans="1:8" s="31" customFormat="1" ht="18">
      <c r="A769" s="309"/>
      <c r="B769" s="67" t="s">
        <v>7</v>
      </c>
      <c r="C769" s="46">
        <f t="shared" si="82"/>
        <v>4.464285714285714E-3</v>
      </c>
      <c r="D769" s="67">
        <v>224</v>
      </c>
      <c r="E769" s="89" t="s">
        <v>25</v>
      </c>
      <c r="F769" s="67" t="s">
        <v>1</v>
      </c>
      <c r="G769" s="72">
        <v>58320</v>
      </c>
      <c r="H769" s="19">
        <f t="shared" si="83"/>
        <v>58320</v>
      </c>
    </row>
    <row r="770" spans="1:8" s="31" customFormat="1" ht="18">
      <c r="A770" s="309"/>
      <c r="B770" s="67" t="s">
        <v>77</v>
      </c>
      <c r="C770" s="46">
        <f t="shared" si="82"/>
        <v>4.4642857142857147E-4</v>
      </c>
      <c r="D770" s="67">
        <v>224</v>
      </c>
      <c r="E770" s="67">
        <v>0.1</v>
      </c>
      <c r="F770" s="67" t="s">
        <v>1</v>
      </c>
      <c r="G770" s="71">
        <v>60900</v>
      </c>
      <c r="H770" s="19">
        <f t="shared" si="83"/>
        <v>6090</v>
      </c>
    </row>
    <row r="771" spans="1:8" s="31" customFormat="1" ht="18">
      <c r="A771" s="309"/>
      <c r="B771" s="67" t="s">
        <v>8</v>
      </c>
      <c r="C771" s="46">
        <f t="shared" si="82"/>
        <v>4.464285714285714E-3</v>
      </c>
      <c r="D771" s="67">
        <v>224</v>
      </c>
      <c r="E771" s="89" t="s">
        <v>25</v>
      </c>
      <c r="F771" s="67" t="s">
        <v>1</v>
      </c>
      <c r="G771" s="71">
        <v>36720</v>
      </c>
      <c r="H771" s="19">
        <f t="shared" si="83"/>
        <v>36720</v>
      </c>
    </row>
    <row r="772" spans="1:8" s="31" customFormat="1" ht="18">
      <c r="A772" s="309"/>
      <c r="B772" s="86" t="s">
        <v>78</v>
      </c>
      <c r="C772" s="74"/>
      <c r="D772" s="67">
        <v>224</v>
      </c>
      <c r="E772" s="73">
        <v>6</v>
      </c>
      <c r="F772" s="67" t="s">
        <v>1</v>
      </c>
      <c r="G772" s="71">
        <v>23100</v>
      </c>
      <c r="H772" s="19">
        <f t="shared" si="83"/>
        <v>138600</v>
      </c>
    </row>
    <row r="773" spans="1:8" ht="18">
      <c r="A773" s="2"/>
      <c r="B773" s="82"/>
      <c r="C773" s="48"/>
      <c r="D773" s="2"/>
      <c r="E773" s="63"/>
      <c r="F773" s="5"/>
      <c r="G773" s="2"/>
      <c r="H773" s="26">
        <f>SUM(H765:H772)</f>
        <v>3673315.5</v>
      </c>
    </row>
    <row r="774" spans="1:8" ht="18">
      <c r="A774" s="313" t="s">
        <v>26</v>
      </c>
      <c r="B774" s="313"/>
      <c r="C774" s="313" t="s">
        <v>27</v>
      </c>
      <c r="D774" s="313"/>
      <c r="E774" s="313"/>
      <c r="F774" s="1"/>
      <c r="G774" s="277" t="s">
        <v>54</v>
      </c>
      <c r="H774" s="277"/>
    </row>
  </sheetData>
  <mergeCells count="82">
    <mergeCell ref="A26:A30"/>
    <mergeCell ref="A2:H2"/>
    <mergeCell ref="B3:H3"/>
    <mergeCell ref="A5:A14"/>
    <mergeCell ref="B14:G14"/>
    <mergeCell ref="A15:A22"/>
    <mergeCell ref="A98:A106"/>
    <mergeCell ref="A32:A37"/>
    <mergeCell ref="A41:B41"/>
    <mergeCell ref="C41:E41"/>
    <mergeCell ref="G41:H41"/>
    <mergeCell ref="A67:H67"/>
    <mergeCell ref="B68:H68"/>
    <mergeCell ref="A70:A79"/>
    <mergeCell ref="B79:G79"/>
    <mergeCell ref="A80:A88"/>
    <mergeCell ref="B87:G87"/>
    <mergeCell ref="A89:A97"/>
    <mergeCell ref="A108:A115"/>
    <mergeCell ref="A124:H124"/>
    <mergeCell ref="B125:H125"/>
    <mergeCell ref="A127:A136"/>
    <mergeCell ref="B136:G136"/>
    <mergeCell ref="A207:A216"/>
    <mergeCell ref="A137:A145"/>
    <mergeCell ref="B145:G145"/>
    <mergeCell ref="A146:A153"/>
    <mergeCell ref="A154:A161"/>
    <mergeCell ref="A163:A170"/>
    <mergeCell ref="A184:H184"/>
    <mergeCell ref="B185:H185"/>
    <mergeCell ref="A187:A195"/>
    <mergeCell ref="B195:G195"/>
    <mergeCell ref="A196:A206"/>
    <mergeCell ref="B206:G206"/>
    <mergeCell ref="B654:H654"/>
    <mergeCell ref="A656:A663"/>
    <mergeCell ref="B663:G663"/>
    <mergeCell ref="A584:H584"/>
    <mergeCell ref="A217:A224"/>
    <mergeCell ref="A226:A233"/>
    <mergeCell ref="A275:H275"/>
    <mergeCell ref="B276:H276"/>
    <mergeCell ref="A278:A287"/>
    <mergeCell ref="B287:G287"/>
    <mergeCell ref="A288:A296"/>
    <mergeCell ref="B296:G296"/>
    <mergeCell ref="A297:A305"/>
    <mergeCell ref="A306:A315"/>
    <mergeCell ref="A317:A324"/>
    <mergeCell ref="A653:H653"/>
    <mergeCell ref="B585:H585"/>
    <mergeCell ref="A587:A595"/>
    <mergeCell ref="B595:G595"/>
    <mergeCell ref="A596:A604"/>
    <mergeCell ref="B604:G604"/>
    <mergeCell ref="A605:A613"/>
    <mergeCell ref="A614:A623"/>
    <mergeCell ref="A625:A632"/>
    <mergeCell ref="A634:B634"/>
    <mergeCell ref="C634:E634"/>
    <mergeCell ref="G634:H634"/>
    <mergeCell ref="A664:A672"/>
    <mergeCell ref="B672:G672"/>
    <mergeCell ref="A745:A754"/>
    <mergeCell ref="A683:A693"/>
    <mergeCell ref="A695:A701"/>
    <mergeCell ref="A703:B703"/>
    <mergeCell ref="C703:E703"/>
    <mergeCell ref="B725:H725"/>
    <mergeCell ref="A727:A735"/>
    <mergeCell ref="B735:G735"/>
    <mergeCell ref="A736:A744"/>
    <mergeCell ref="B744:G744"/>
    <mergeCell ref="G703:H703"/>
    <mergeCell ref="A724:H724"/>
    <mergeCell ref="A673:A682"/>
    <mergeCell ref="A755:A763"/>
    <mergeCell ref="A765:A772"/>
    <mergeCell ref="A774:B774"/>
    <mergeCell ref="C774:E774"/>
    <mergeCell ref="G774:H774"/>
  </mergeCells>
  <pageMargins left="0.38" right="0.3" top="0.43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 thuc pham T 04 2025 </vt:lpstr>
      <vt:lpstr>Đặt công ty  T12)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cp:lastPrinted>2025-03-12T00:12:40Z</cp:lastPrinted>
  <dcterms:created xsi:type="dcterms:W3CDTF">2024-09-06T11:46:48Z</dcterms:created>
  <dcterms:modified xsi:type="dcterms:W3CDTF">2025-04-16T00:27:58Z</dcterms:modified>
</cp:coreProperties>
</file>