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AK22\Desktop\thực phẩm thầy quân\"/>
    </mc:Choice>
  </mc:AlternateContent>
  <xr:revisionPtr revIDLastSave="0" documentId="13_ncr:1_{48B4F7F1-6B76-4C7B-A9E6-BCB541F5D8EC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at thuc pham T 04 2025 " sheetId="16" r:id="rId1"/>
    <sheet name="lưu cót tháng 11 (2)" sheetId="11" r:id="rId2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1" l="1"/>
  <c r="H55" i="16"/>
  <c r="C50" i="16"/>
  <c r="H44" i="16"/>
  <c r="H22" i="16"/>
  <c r="I22" i="16"/>
  <c r="H50" i="16"/>
  <c r="H42" i="16"/>
  <c r="I44" i="16"/>
  <c r="H33" i="16"/>
  <c r="I33" i="16"/>
  <c r="I27" i="16"/>
  <c r="H32" i="16"/>
  <c r="H31" i="16"/>
  <c r="H30" i="16"/>
  <c r="H29" i="16"/>
  <c r="H28" i="16"/>
  <c r="H27" i="16"/>
  <c r="C27" i="16"/>
  <c r="H26" i="16"/>
  <c r="C26" i="16"/>
  <c r="H25" i="16"/>
  <c r="C25" i="16"/>
  <c r="H24" i="16"/>
  <c r="C24" i="16"/>
  <c r="H43" i="16"/>
  <c r="H41" i="16"/>
  <c r="H40" i="16"/>
  <c r="H39" i="16"/>
  <c r="C39" i="16"/>
  <c r="H38" i="16"/>
  <c r="C38" i="16"/>
  <c r="H37" i="16"/>
  <c r="C37" i="16"/>
  <c r="H36" i="16"/>
  <c r="C36" i="16"/>
  <c r="H35" i="16"/>
  <c r="C35" i="16"/>
  <c r="H20" i="16"/>
  <c r="H21" i="16"/>
  <c r="H19" i="16"/>
  <c r="H18" i="16"/>
  <c r="H17" i="16"/>
  <c r="H16" i="16"/>
  <c r="C16" i="16"/>
  <c r="H15" i="16"/>
  <c r="C15" i="16"/>
  <c r="H14" i="16"/>
  <c r="C14" i="16"/>
  <c r="H13" i="16"/>
  <c r="C13" i="16"/>
  <c r="Q18" i="16"/>
  <c r="Q17" i="16"/>
  <c r="Q16" i="16"/>
  <c r="Q15" i="16"/>
  <c r="Q14" i="16"/>
  <c r="Q13" i="16"/>
  <c r="Q12" i="16"/>
  <c r="L12" i="16"/>
  <c r="Q11" i="16"/>
  <c r="L11" i="16"/>
  <c r="Q10" i="16"/>
  <c r="L10" i="16"/>
  <c r="Q9" i="16"/>
  <c r="L9" i="16"/>
  <c r="H11" i="16"/>
  <c r="I9" i="16"/>
  <c r="I5" i="16"/>
  <c r="I56" i="16"/>
  <c r="H54" i="16"/>
  <c r="H53" i="16"/>
  <c r="H52" i="16"/>
  <c r="H51" i="16"/>
  <c r="C51" i="16"/>
  <c r="H49" i="16"/>
  <c r="C49" i="16"/>
  <c r="H48" i="16"/>
  <c r="C48" i="16"/>
  <c r="H47" i="16"/>
  <c r="C47" i="16"/>
  <c r="H46" i="16"/>
  <c r="C46" i="16"/>
  <c r="I15" i="16"/>
  <c r="I13" i="16"/>
  <c r="H10" i="16"/>
  <c r="H9" i="16"/>
  <c r="H8" i="16"/>
  <c r="H7" i="16"/>
  <c r="C7" i="16"/>
  <c r="H6" i="16"/>
  <c r="C6" i="16"/>
  <c r="H5" i="16"/>
  <c r="C5" i="16"/>
  <c r="I4" i="16"/>
  <c r="H4" i="16"/>
  <c r="C4" i="16"/>
  <c r="I2" i="16"/>
  <c r="H106" i="16"/>
  <c r="I107" i="16"/>
  <c r="H96" i="16"/>
  <c r="I91" i="16"/>
  <c r="H90" i="16"/>
  <c r="H91" i="16"/>
  <c r="H92" i="16"/>
  <c r="H93" i="16"/>
  <c r="H94" i="16"/>
  <c r="H95" i="16"/>
  <c r="H89" i="16"/>
  <c r="H88" i="16"/>
  <c r="H105" i="16"/>
  <c r="H104" i="16"/>
  <c r="H103" i="16"/>
  <c r="H102" i="16"/>
  <c r="C102" i="16"/>
  <c r="H101" i="16"/>
  <c r="C101" i="16"/>
  <c r="H100" i="16"/>
  <c r="C100" i="16"/>
  <c r="H99" i="16"/>
  <c r="C99" i="16"/>
  <c r="H98" i="16"/>
  <c r="C98" i="16"/>
  <c r="C91" i="16"/>
  <c r="C90" i="16"/>
  <c r="C89" i="16"/>
  <c r="C88" i="16"/>
  <c r="H86" i="16"/>
  <c r="I85" i="16"/>
  <c r="H85" i="16"/>
  <c r="H84" i="16"/>
  <c r="H83" i="16"/>
  <c r="H82" i="16"/>
  <c r="H81" i="16"/>
  <c r="H80" i="16"/>
  <c r="C80" i="16"/>
  <c r="I79" i="16"/>
  <c r="H79" i="16"/>
  <c r="C79" i="16"/>
  <c r="H78" i="16"/>
  <c r="C78" i="16"/>
  <c r="I77" i="16"/>
  <c r="H77" i="16"/>
  <c r="C77" i="16"/>
  <c r="H75" i="16"/>
  <c r="H74" i="16"/>
  <c r="H73" i="16"/>
  <c r="H72" i="16"/>
  <c r="H71" i="16"/>
  <c r="C71" i="16"/>
  <c r="H70" i="16"/>
  <c r="C70" i="16"/>
  <c r="I69" i="16"/>
  <c r="H69" i="16"/>
  <c r="C69" i="16"/>
  <c r="I68" i="16"/>
  <c r="H68" i="16"/>
  <c r="C68" i="16"/>
  <c r="I66" i="16"/>
  <c r="H164" i="16"/>
  <c r="H156" i="16"/>
  <c r="I165" i="16"/>
  <c r="H158" i="16"/>
  <c r="C158" i="16"/>
  <c r="H154" i="16"/>
  <c r="I149" i="16"/>
  <c r="C149" i="16"/>
  <c r="C150" i="16"/>
  <c r="H133" i="16"/>
  <c r="H150" i="16"/>
  <c r="H23" i="16" l="1"/>
  <c r="I23" i="16" s="1"/>
  <c r="H45" i="16"/>
  <c r="I45" i="16" s="1"/>
  <c r="H34" i="16"/>
  <c r="I34" i="16" s="1"/>
  <c r="H12" i="16"/>
  <c r="I12" i="16" s="1"/>
  <c r="H76" i="16"/>
  <c r="I76" i="16" s="1"/>
  <c r="H56" i="16"/>
  <c r="H97" i="16"/>
  <c r="I94" i="16" s="1"/>
  <c r="H107" i="16"/>
  <c r="H87" i="16"/>
  <c r="I87" i="16" s="1"/>
  <c r="H144" i="16"/>
  <c r="I143" i="16"/>
  <c r="I137" i="16"/>
  <c r="H141" i="16"/>
  <c r="H135" i="16"/>
  <c r="I30" i="16" l="1"/>
  <c r="I71" i="16"/>
  <c r="I57" i="16"/>
  <c r="I108" i="16"/>
  <c r="I97" i="16"/>
  <c r="H131" i="16"/>
  <c r="I127" i="16" l="1"/>
  <c r="H163" i="16" l="1"/>
  <c r="H162" i="16"/>
  <c r="H161" i="16"/>
  <c r="H160" i="16"/>
  <c r="H159" i="16"/>
  <c r="C159" i="16"/>
  <c r="H157" i="16"/>
  <c r="C157" i="16"/>
  <c r="C156" i="16"/>
  <c r="H151" i="16"/>
  <c r="H153" i="16"/>
  <c r="H152" i="16"/>
  <c r="H149" i="16"/>
  <c r="H148" i="16"/>
  <c r="C148" i="16"/>
  <c r="H147" i="16"/>
  <c r="C147" i="16"/>
  <c r="H146" i="16"/>
  <c r="C146" i="16"/>
  <c r="H143" i="16"/>
  <c r="H142" i="16"/>
  <c r="H140" i="16"/>
  <c r="H139" i="16"/>
  <c r="H138" i="16"/>
  <c r="C138" i="16"/>
  <c r="H137" i="16"/>
  <c r="C137" i="16"/>
  <c r="H136" i="16"/>
  <c r="C136" i="16"/>
  <c r="I135" i="16"/>
  <c r="C135" i="16"/>
  <c r="H132" i="16"/>
  <c r="H130" i="16"/>
  <c r="H129" i="16"/>
  <c r="C129" i="16"/>
  <c r="H128" i="16"/>
  <c r="C128" i="16"/>
  <c r="H127" i="16"/>
  <c r="C127" i="16"/>
  <c r="H126" i="16"/>
  <c r="C126" i="16"/>
  <c r="I124" i="16"/>
  <c r="I207" i="16"/>
  <c r="H236" i="16"/>
  <c r="H216" i="16"/>
  <c r="H226" i="16"/>
  <c r="I215" i="16"/>
  <c r="H205" i="16"/>
  <c r="H235" i="16"/>
  <c r="H234" i="16"/>
  <c r="H233" i="16"/>
  <c r="H232" i="16"/>
  <c r="C232" i="16"/>
  <c r="H231" i="16"/>
  <c r="C231" i="16"/>
  <c r="H230" i="16"/>
  <c r="C230" i="16"/>
  <c r="H229" i="16"/>
  <c r="C229" i="16"/>
  <c r="H228" i="16"/>
  <c r="C228" i="16"/>
  <c r="I221" i="16"/>
  <c r="I199" i="16"/>
  <c r="H145" i="16" l="1"/>
  <c r="I145" i="16" s="1"/>
  <c r="H165" i="16"/>
  <c r="H134" i="16"/>
  <c r="I134" i="16" s="1"/>
  <c r="H155" i="16"/>
  <c r="I152" i="16" s="1"/>
  <c r="I126" i="16"/>
  <c r="H237" i="16"/>
  <c r="I237" i="16" s="1"/>
  <c r="H196" i="16"/>
  <c r="I191" i="16"/>
  <c r="H200" i="16"/>
  <c r="H201" i="16"/>
  <c r="H202" i="16"/>
  <c r="H203" i="16"/>
  <c r="H204" i="16"/>
  <c r="H199" i="16"/>
  <c r="H194" i="16"/>
  <c r="H195" i="16"/>
  <c r="H225" i="16"/>
  <c r="H224" i="16"/>
  <c r="H223" i="16"/>
  <c r="H222" i="16"/>
  <c r="H221" i="16"/>
  <c r="H220" i="16"/>
  <c r="C220" i="16"/>
  <c r="H219" i="16"/>
  <c r="C219" i="16"/>
  <c r="H218" i="16"/>
  <c r="C218" i="16"/>
  <c r="H215" i="16"/>
  <c r="H214" i="16"/>
  <c r="H213" i="16"/>
  <c r="H212" i="16"/>
  <c r="H211" i="16"/>
  <c r="H210" i="16"/>
  <c r="C210" i="16"/>
  <c r="I209" i="16"/>
  <c r="H209" i="16"/>
  <c r="C209" i="16"/>
  <c r="H208" i="16"/>
  <c r="C208" i="16"/>
  <c r="H207" i="16"/>
  <c r="C207" i="16"/>
  <c r="C201" i="16"/>
  <c r="C200" i="16"/>
  <c r="C199" i="16"/>
  <c r="H198" i="16"/>
  <c r="C198" i="16"/>
  <c r="I193" i="16"/>
  <c r="H193" i="16"/>
  <c r="H192" i="16"/>
  <c r="C192" i="16"/>
  <c r="H191" i="16"/>
  <c r="C191" i="16"/>
  <c r="J190" i="16"/>
  <c r="H190" i="16"/>
  <c r="C190" i="16"/>
  <c r="J189" i="16"/>
  <c r="H189" i="16"/>
  <c r="C189" i="16"/>
  <c r="J188" i="16"/>
  <c r="I188" i="16"/>
  <c r="H188" i="16"/>
  <c r="C188" i="16"/>
  <c r="J187" i="16"/>
  <c r="H187" i="16"/>
  <c r="C187" i="16"/>
  <c r="J186" i="16"/>
  <c r="I184" i="16"/>
  <c r="H288" i="16"/>
  <c r="H281" i="16"/>
  <c r="H298" i="16"/>
  <c r="H292" i="16"/>
  <c r="H307" i="16"/>
  <c r="H306" i="16"/>
  <c r="H305" i="16"/>
  <c r="H304" i="16"/>
  <c r="C304" i="16"/>
  <c r="H303" i="16"/>
  <c r="C303" i="16"/>
  <c r="H302" i="16"/>
  <c r="C302" i="16"/>
  <c r="H301" i="16"/>
  <c r="C301" i="16"/>
  <c r="H300" i="16"/>
  <c r="C300" i="16"/>
  <c r="H297" i="16"/>
  <c r="H296" i="16"/>
  <c r="H295" i="16"/>
  <c r="H294" i="16"/>
  <c r="H293" i="16"/>
  <c r="C292" i="16"/>
  <c r="H291" i="16"/>
  <c r="C291" i="16"/>
  <c r="H290" i="16"/>
  <c r="C290" i="16"/>
  <c r="I293" i="16"/>
  <c r="I307" i="16"/>
  <c r="I287" i="16"/>
  <c r="H287" i="16"/>
  <c r="H286" i="16"/>
  <c r="H285" i="16"/>
  <c r="H284" i="16"/>
  <c r="H283" i="16"/>
  <c r="H282" i="16"/>
  <c r="C282" i="16"/>
  <c r="C281" i="16"/>
  <c r="H280" i="16"/>
  <c r="C280" i="16"/>
  <c r="H279" i="16"/>
  <c r="C279" i="16"/>
  <c r="H277" i="16"/>
  <c r="H276" i="16"/>
  <c r="H275" i="16"/>
  <c r="H274" i="16"/>
  <c r="H273" i="16"/>
  <c r="C273" i="16"/>
  <c r="H272" i="16"/>
  <c r="C272" i="16"/>
  <c r="H271" i="16"/>
  <c r="C271" i="16"/>
  <c r="H270" i="16"/>
  <c r="C270" i="16"/>
  <c r="H269" i="16"/>
  <c r="C269" i="16"/>
  <c r="H267" i="16"/>
  <c r="I270" i="16"/>
  <c r="I260" i="16"/>
  <c r="I265" i="16"/>
  <c r="I263" i="16"/>
  <c r="I129" i="16" l="1"/>
  <c r="I155" i="16"/>
  <c r="H206" i="16"/>
  <c r="I206" i="16" s="1"/>
  <c r="H227" i="16"/>
  <c r="I227" i="16" s="1"/>
  <c r="H197" i="16"/>
  <c r="I197" i="16" s="1"/>
  <c r="H217" i="16"/>
  <c r="I217" i="16" s="1"/>
  <c r="H299" i="16"/>
  <c r="I299" i="16" s="1"/>
  <c r="I224" i="16" l="1"/>
  <c r="I201" i="16"/>
  <c r="I192" i="16"/>
  <c r="I189" i="16"/>
  <c r="I198" i="16"/>
  <c r="H265" i="16"/>
  <c r="H264" i="16"/>
  <c r="C264" i="16"/>
  <c r="H263" i="16"/>
  <c r="C263" i="16"/>
  <c r="H262" i="16"/>
  <c r="C262" i="16"/>
  <c r="H261" i="16"/>
  <c r="C261" i="16"/>
  <c r="H260" i="16"/>
  <c r="C260" i="16"/>
  <c r="H259" i="16"/>
  <c r="C259" i="16"/>
  <c r="I281" i="16"/>
  <c r="H266" i="16"/>
  <c r="J262" i="16"/>
  <c r="J261" i="16"/>
  <c r="J260" i="16"/>
  <c r="J259" i="16"/>
  <c r="J258" i="16"/>
  <c r="I256" i="16"/>
  <c r="H398" i="16"/>
  <c r="H397" i="16"/>
  <c r="H391" i="16"/>
  <c r="H388" i="16"/>
  <c r="H396" i="16"/>
  <c r="H387" i="16"/>
  <c r="H386" i="16"/>
  <c r="H377" i="16"/>
  <c r="H381" i="16"/>
  <c r="C381" i="16"/>
  <c r="I382" i="16"/>
  <c r="H395" i="16"/>
  <c r="H394" i="16"/>
  <c r="H393" i="16"/>
  <c r="H392" i="16"/>
  <c r="C392" i="16"/>
  <c r="C391" i="16"/>
  <c r="H390" i="16"/>
  <c r="C390" i="16"/>
  <c r="H385" i="16"/>
  <c r="H384" i="16"/>
  <c r="H383" i="16"/>
  <c r="H382" i="16"/>
  <c r="C382" i="16"/>
  <c r="H380" i="16"/>
  <c r="C380" i="16"/>
  <c r="H379" i="16"/>
  <c r="C379" i="16"/>
  <c r="H375" i="16"/>
  <c r="H376" i="16"/>
  <c r="I370" i="16"/>
  <c r="H374" i="16"/>
  <c r="H373" i="16"/>
  <c r="H372" i="16"/>
  <c r="H371" i="16"/>
  <c r="H370" i="16"/>
  <c r="C370" i="16"/>
  <c r="H369" i="16"/>
  <c r="C369" i="16"/>
  <c r="H368" i="16"/>
  <c r="C368" i="16"/>
  <c r="H366" i="16"/>
  <c r="I360" i="16"/>
  <c r="H365" i="16"/>
  <c r="H364" i="16"/>
  <c r="H363" i="16"/>
  <c r="C363" i="16"/>
  <c r="H362" i="16"/>
  <c r="C362" i="16"/>
  <c r="H361" i="16"/>
  <c r="C361" i="16"/>
  <c r="H360" i="16"/>
  <c r="C360" i="16"/>
  <c r="H359" i="16"/>
  <c r="C359" i="16"/>
  <c r="I296" i="16" l="1"/>
  <c r="H289" i="16"/>
  <c r="I289" i="16" s="1"/>
  <c r="H308" i="16"/>
  <c r="H278" i="16"/>
  <c r="I272" i="16" s="1"/>
  <c r="H268" i="16"/>
  <c r="I269" i="16" s="1"/>
  <c r="H389" i="16"/>
  <c r="H378" i="16"/>
  <c r="H367" i="16"/>
  <c r="I308" i="16" l="1"/>
  <c r="I278" i="16"/>
  <c r="I264" i="16"/>
  <c r="I268" i="16"/>
  <c r="I261" i="16"/>
  <c r="H357" i="16"/>
  <c r="I350" i="16"/>
  <c r="H353" i="16"/>
  <c r="H354" i="16"/>
  <c r="H355" i="16"/>
  <c r="H356" i="16"/>
  <c r="C353" i="16"/>
  <c r="H352" i="16"/>
  <c r="C352" i="16"/>
  <c r="H351" i="16"/>
  <c r="C351" i="16"/>
  <c r="H350" i="16"/>
  <c r="C350" i="16"/>
  <c r="H349" i="16"/>
  <c r="C349" i="16"/>
  <c r="H358" i="16" l="1"/>
  <c r="I358" i="16" s="1"/>
  <c r="I375" i="16" l="1"/>
  <c r="I353" i="16"/>
  <c r="J352" i="16"/>
  <c r="J351" i="16"/>
  <c r="J350" i="16"/>
  <c r="J349" i="16"/>
  <c r="J348" i="16"/>
  <c r="I346" i="16"/>
  <c r="H399" i="16" l="1"/>
  <c r="I385" i="16"/>
  <c r="I378" i="16"/>
  <c r="I367" i="16"/>
  <c r="I399" i="16" l="1"/>
  <c r="I389" i="16"/>
  <c r="I351" i="16"/>
  <c r="I359" i="16"/>
  <c r="I354" i="16"/>
  <c r="I362" i="16"/>
  <c r="H222" i="11" l="1"/>
  <c r="H221" i="11"/>
  <c r="H220" i="11"/>
  <c r="H219" i="11"/>
  <c r="H218" i="11"/>
  <c r="H205" i="11"/>
  <c r="H204" i="11"/>
  <c r="C204" i="11"/>
  <c r="H203" i="11"/>
  <c r="C203" i="11"/>
  <c r="H202" i="11"/>
  <c r="C202" i="11"/>
  <c r="H198" i="11"/>
  <c r="H197" i="11"/>
  <c r="H196" i="11"/>
  <c r="H195" i="11"/>
  <c r="H194" i="11"/>
  <c r="H193" i="11"/>
  <c r="H192" i="11"/>
  <c r="H191" i="11"/>
  <c r="G188" i="11"/>
  <c r="H186" i="11"/>
  <c r="H185" i="11"/>
  <c r="H184" i="11"/>
  <c r="H183" i="11"/>
  <c r="H180" i="11"/>
  <c r="H179" i="11"/>
  <c r="H178" i="11"/>
  <c r="H177" i="11"/>
  <c r="H176" i="11"/>
  <c r="H175" i="11"/>
  <c r="H174" i="11"/>
  <c r="H173" i="11"/>
  <c r="H170" i="11"/>
  <c r="H168" i="11"/>
  <c r="H167" i="11"/>
  <c r="H166" i="11"/>
  <c r="H165" i="11"/>
  <c r="H154" i="11"/>
  <c r="H153" i="11"/>
  <c r="H152" i="11"/>
  <c r="H151" i="11"/>
  <c r="H150" i="11"/>
  <c r="C150" i="11"/>
  <c r="H149" i="11"/>
  <c r="C149" i="11"/>
  <c r="H148" i="11"/>
  <c r="C148" i="11"/>
  <c r="H144" i="11"/>
  <c r="H143" i="11"/>
  <c r="H142" i="11"/>
  <c r="H141" i="11"/>
  <c r="H140" i="11"/>
  <c r="H139" i="11"/>
  <c r="H138" i="11"/>
  <c r="C138" i="11"/>
  <c r="H137" i="11"/>
  <c r="C137" i="11"/>
  <c r="G134" i="11"/>
  <c r="H133" i="11"/>
  <c r="H132" i="11"/>
  <c r="H131" i="11"/>
  <c r="H130" i="11"/>
  <c r="H129" i="11"/>
  <c r="H126" i="11"/>
  <c r="H125" i="11"/>
  <c r="H124" i="11"/>
  <c r="H123" i="11"/>
  <c r="H122" i="11"/>
  <c r="H121" i="11"/>
  <c r="H118" i="11"/>
  <c r="H117" i="11"/>
  <c r="H116" i="11"/>
  <c r="C116" i="11"/>
  <c r="H115" i="11"/>
  <c r="C115" i="11"/>
  <c r="H114" i="11"/>
  <c r="C114" i="11"/>
  <c r="H113" i="11"/>
  <c r="C113" i="11"/>
  <c r="H99" i="11"/>
  <c r="H98" i="11"/>
  <c r="H97" i="11"/>
  <c r="C97" i="11"/>
  <c r="H96" i="11"/>
  <c r="C96" i="11"/>
  <c r="H95" i="11"/>
  <c r="C95" i="11"/>
  <c r="H91" i="11"/>
  <c r="H90" i="11"/>
  <c r="H89" i="11"/>
  <c r="H88" i="11"/>
  <c r="H87" i="11"/>
  <c r="H86" i="11"/>
  <c r="H85" i="11"/>
  <c r="H84" i="11"/>
  <c r="H83" i="11"/>
  <c r="H73" i="11"/>
  <c r="H72" i="11"/>
  <c r="H71" i="11"/>
  <c r="C71" i="11"/>
  <c r="H70" i="11"/>
  <c r="C70" i="11"/>
  <c r="H69" i="11"/>
  <c r="C69" i="11"/>
  <c r="H68" i="11"/>
  <c r="C68" i="11"/>
  <c r="H67" i="11"/>
  <c r="C67" i="11"/>
  <c r="H66" i="11"/>
  <c r="C66" i="11"/>
  <c r="H63" i="11"/>
  <c r="H61" i="11"/>
  <c r="C61" i="11"/>
  <c r="H60" i="11"/>
  <c r="C60" i="11"/>
  <c r="H59" i="11"/>
  <c r="C59" i="11"/>
  <c r="H58" i="11"/>
  <c r="C58" i="11"/>
  <c r="H46" i="11"/>
  <c r="H45" i="11"/>
  <c r="H44" i="11"/>
  <c r="H43" i="11"/>
  <c r="H42" i="11"/>
  <c r="C42" i="11"/>
  <c r="H41" i="11"/>
  <c r="C41" i="11"/>
  <c r="H40" i="11"/>
  <c r="C40" i="11"/>
  <c r="H36" i="11"/>
  <c r="H35" i="11"/>
  <c r="H34" i="11"/>
  <c r="H33" i="11"/>
  <c r="H32" i="11"/>
  <c r="H31" i="11"/>
  <c r="H30" i="11"/>
  <c r="H29" i="11"/>
  <c r="G26" i="11"/>
  <c r="H25" i="11"/>
  <c r="H24" i="11"/>
  <c r="H23" i="11"/>
  <c r="H22" i="11"/>
  <c r="H19" i="11"/>
  <c r="H18" i="11"/>
  <c r="H17" i="11"/>
  <c r="H16" i="11"/>
  <c r="H15" i="11"/>
  <c r="H14" i="11"/>
  <c r="H11" i="11"/>
  <c r="H9" i="11"/>
  <c r="C9" i="11"/>
  <c r="H8" i="11"/>
  <c r="C8" i="11"/>
  <c r="H7" i="11"/>
  <c r="C7" i="11"/>
  <c r="H6" i="11"/>
  <c r="C6" i="11"/>
  <c r="H28" i="11" l="1"/>
  <c r="H172" i="11"/>
  <c r="H190" i="11"/>
  <c r="H136" i="11"/>
  <c r="H102" i="11"/>
  <c r="H208" i="11"/>
  <c r="H21" i="11"/>
  <c r="H75" i="11"/>
  <c r="H13" i="11"/>
  <c r="H48" i="11"/>
  <c r="H120" i="11"/>
  <c r="H39" i="11"/>
  <c r="H65" i="11"/>
  <c r="H94" i="11"/>
  <c r="H128" i="11"/>
  <c r="H147" i="11"/>
  <c r="H156" i="11"/>
  <c r="H182" i="11"/>
  <c r="H201" i="11"/>
  <c r="H226" i="11"/>
</calcChain>
</file>

<file path=xl/sharedStrings.xml><?xml version="1.0" encoding="utf-8"?>
<sst xmlns="http://schemas.openxmlformats.org/spreadsheetml/2006/main" count="1179" uniqueCount="210">
  <si>
    <t>TRƯỜNG TIỂU HỌC QUANG MINH</t>
  </si>
  <si>
    <t>Kg</t>
  </si>
  <si>
    <t>Cái</t>
  </si>
  <si>
    <t>kg</t>
  </si>
  <si>
    <t>ĐVT</t>
  </si>
  <si>
    <t xml:space="preserve">Thịt xay </t>
  </si>
  <si>
    <t xml:space="preserve">Đậu rán </t>
  </si>
  <si>
    <t>Dầu hào Magi</t>
  </si>
  <si>
    <t xml:space="preserve">Bột chiên giòn </t>
  </si>
  <si>
    <t>Cá rô phi phi lê</t>
  </si>
  <si>
    <t xml:space="preserve">Gạo BC chuẩn </t>
  </si>
  <si>
    <t>Hành khô</t>
  </si>
  <si>
    <t>Rau mồng tơi</t>
  </si>
  <si>
    <t>THỨ</t>
  </si>
  <si>
    <t xml:space="preserve">TÊN THỰC PHẨM </t>
  </si>
  <si>
    <t>ĐỊNH LƯỢNG(gr)</t>
  </si>
  <si>
    <t>SỐ HS</t>
  </si>
  <si>
    <t>SL</t>
  </si>
  <si>
    <t>ĐƠN GIÁ</t>
  </si>
  <si>
    <t>THÀNH TIỀN</t>
  </si>
  <si>
    <t>Gạo BC</t>
  </si>
  <si>
    <t xml:space="preserve">Tôm biển </t>
  </si>
  <si>
    <t>8</t>
  </si>
  <si>
    <t xml:space="preserve">Thịt lợn sấn </t>
  </si>
  <si>
    <t xml:space="preserve">Suất </t>
  </si>
  <si>
    <t>Gia vị ( dàu ăn, nước mắm, mỳ chính…)</t>
  </si>
  <si>
    <t>1</t>
  </si>
  <si>
    <t>Canh xương hầm bí đỏ</t>
  </si>
  <si>
    <t>Suất</t>
  </si>
  <si>
    <t xml:space="preserve">T/M NHÀ TRƯỜNG </t>
  </si>
  <si>
    <t xml:space="preserve">NGƯỜI THEO DÕI </t>
  </si>
  <si>
    <t>BẾP TRƯỞNG</t>
  </si>
  <si>
    <t>Nguyễn Thị Bưởi</t>
  </si>
  <si>
    <t>Trần Thị Hạnh</t>
  </si>
  <si>
    <t>BẢNG ĐỊNH LƯỢNG THỰC PHẨM SUẤT ĂN BÁN TRÚ THÁNG 11/2024</t>
  </si>
  <si>
    <t>Ngô ngọt sạch vỏ</t>
  </si>
  <si>
    <t>Canh thịt băm bí xanh</t>
  </si>
  <si>
    <t xml:space="preserve"> Tuần 9 ngày 01/11 Tiền ăn 17.000đ/ bữa x 225 hs= 3.825,000</t>
  </si>
  <si>
    <t>27</t>
  </si>
  <si>
    <t>Thịt sấn</t>
  </si>
  <si>
    <t>Gia vị ( Gừng, hành lá )</t>
  </si>
  <si>
    <t>13,2</t>
  </si>
  <si>
    <t xml:space="preserve">Nấm hương </t>
  </si>
  <si>
    <t>0,7</t>
  </si>
  <si>
    <t>Trứng vịt</t>
  </si>
  <si>
    <t>8,2</t>
  </si>
  <si>
    <t xml:space="preserve">Canh thịt băm bí xanh </t>
  </si>
  <si>
    <t>Hành lá</t>
  </si>
  <si>
    <t xml:space="preserve">Mọc </t>
  </si>
  <si>
    <t xml:space="preserve">Đậu trắng </t>
  </si>
  <si>
    <t xml:space="preserve">Cà chua </t>
  </si>
  <si>
    <t>Tép</t>
  </si>
  <si>
    <t>0,1</t>
  </si>
  <si>
    <t>6</t>
  </si>
  <si>
    <t>3</t>
  </si>
  <si>
    <t xml:space="preserve">Hành khô, tỏi, rau thơm </t>
  </si>
  <si>
    <t>Tổm biển ( loại 90-100)</t>
  </si>
  <si>
    <t>Đậu cove</t>
  </si>
  <si>
    <t xml:space="preserve"> Hành lá</t>
  </si>
  <si>
    <t xml:space="preserve"> Canh thịt băm rau cải</t>
  </si>
  <si>
    <t>Giò lợn</t>
  </si>
  <si>
    <t>Ức gà CN không xương</t>
  </si>
  <si>
    <t>10,1</t>
  </si>
  <si>
    <t>Hành  lá</t>
  </si>
  <si>
    <t>0,2</t>
  </si>
  <si>
    <t>15,1</t>
  </si>
  <si>
    <t>Hành lá, rau thơm</t>
  </si>
  <si>
    <t>27,1</t>
  </si>
  <si>
    <t>14,7</t>
  </si>
  <si>
    <t xml:space="preserve"> Tuần 9 từ 04/11- 08/11 Tiền ăn 17.000đ/ bữa x 225 hs= 3.825.000</t>
  </si>
  <si>
    <t>11,6</t>
  </si>
  <si>
    <t xml:space="preserve">Chả lợn </t>
  </si>
  <si>
    <t xml:space="preserve">Khoai tây </t>
  </si>
  <si>
    <t xml:space="preserve"> Gia vị (hành khô, hành lá )</t>
  </si>
  <si>
    <t>27,2</t>
  </si>
  <si>
    <t xml:space="preserve">  2
11/11</t>
  </si>
  <si>
    <t>3       12/11</t>
  </si>
  <si>
    <t>4       13/11</t>
  </si>
  <si>
    <t>6     15/11</t>
  </si>
  <si>
    <t>5       14/11</t>
  </si>
  <si>
    <t>hành khô</t>
  </si>
  <si>
    <t>5</t>
  </si>
  <si>
    <t>14</t>
  </si>
  <si>
    <t>Canh thịt băm rau bầu</t>
  </si>
  <si>
    <t>11,5</t>
  </si>
  <si>
    <t>6,2</t>
  </si>
  <si>
    <t xml:space="preserve">Xương ống </t>
  </si>
  <si>
    <t xml:space="preserve"> bí đỏ</t>
  </si>
  <si>
    <t>Tỏi khô</t>
  </si>
  <si>
    <t>Rau thơm</t>
  </si>
  <si>
    <t xml:space="preserve"> Gia vị( hành khô )</t>
  </si>
  <si>
    <t>Thịt lợn sấn (mông, vai, thăn)</t>
  </si>
  <si>
    <t xml:space="preserve"> Tuần 10 từ 11/11- 15/11 Tiền ăn 17.000đ/ bữa x 225 hs= 3.825.000</t>
  </si>
  <si>
    <t>5,8</t>
  </si>
  <si>
    <t>14,8</t>
  </si>
  <si>
    <t>26,9</t>
  </si>
  <si>
    <t xml:space="preserve"> Gia vị Hành lá, hành khô</t>
  </si>
  <si>
    <t>15</t>
  </si>
  <si>
    <t>8,3</t>
  </si>
  <si>
    <t>Bầu</t>
  </si>
  <si>
    <t xml:space="preserve"> Tuần 11 từ 18/11- 22/11 Tiền ăn 17.000đ/ bữa x 225 hs= 3.825.000</t>
  </si>
  <si>
    <t>16</t>
  </si>
  <si>
    <t>Gia vị hành  lá</t>
  </si>
  <si>
    <t>Gia vị hành khô</t>
  </si>
  <si>
    <t>Nghỉ lễ 20/11</t>
  </si>
  <si>
    <t xml:space="preserve"> Tuần 12 từ 25/11- 29/11 Tiền ăn 17.000đ/ bữa x 225 hs= 3.825.000</t>
  </si>
  <si>
    <t>14,3</t>
  </si>
  <si>
    <t xml:space="preserve">  2
25/11</t>
  </si>
  <si>
    <t>3       26/11</t>
  </si>
  <si>
    <t>7,2</t>
  </si>
  <si>
    <t>11,2</t>
  </si>
  <si>
    <t>6,1</t>
  </si>
  <si>
    <t>27,8</t>
  </si>
  <si>
    <t>12</t>
  </si>
  <si>
    <t>27,7</t>
  </si>
  <si>
    <t xml:space="preserve">Thịt gà CN bỏ đầu chân cổ cánh </t>
  </si>
  <si>
    <t xml:space="preserve">Trứng vịt </t>
  </si>
  <si>
    <t>7</t>
  </si>
  <si>
    <t>7,4</t>
  </si>
  <si>
    <t xml:space="preserve">Canh bí xanh </t>
  </si>
  <si>
    <t>7,3</t>
  </si>
  <si>
    <t>Thịt xay</t>
  </si>
  <si>
    <t>Canh su hào</t>
  </si>
  <si>
    <t>27,5</t>
  </si>
  <si>
    <t>BẢNG ĐỊNH LƯỢNG THỰC PHẨM SUẤT ĂN BÁN TRÚ THÁNG 02/2025</t>
  </si>
  <si>
    <t>Cá rô phi lê</t>
  </si>
  <si>
    <t>131</t>
  </si>
  <si>
    <t>Rầu hào Magi350ml</t>
  </si>
  <si>
    <t>Chai</t>
  </si>
  <si>
    <t>2</t>
  </si>
  <si>
    <t>Bột chiên ròn</t>
  </si>
  <si>
    <t xml:space="preserve">Bí đao xanh </t>
  </si>
  <si>
    <t>5,1</t>
  </si>
  <si>
    <t>12,3</t>
  </si>
  <si>
    <t>18,3</t>
  </si>
  <si>
    <t>5,3</t>
  </si>
  <si>
    <t>Từ ngày 03/03 đến ngày 07/03/2025</t>
  </si>
  <si>
    <t xml:space="preserve">  T2
03/03</t>
  </si>
  <si>
    <t xml:space="preserve">  T3
04/03</t>
  </si>
  <si>
    <t xml:space="preserve">  T4
05/03</t>
  </si>
  <si>
    <t xml:space="preserve">  T5
06/03</t>
  </si>
  <si>
    <t>T6 07/03</t>
  </si>
  <si>
    <t>5,2</t>
  </si>
  <si>
    <t>Từ ngày 10/03 đến ngày 14/03/2025</t>
  </si>
  <si>
    <t>Gừng tươi</t>
  </si>
  <si>
    <t xml:space="preserve">  T2
10/03</t>
  </si>
  <si>
    <t xml:space="preserve">  T3
11/03</t>
  </si>
  <si>
    <t xml:space="preserve">  T4
12/03</t>
  </si>
  <si>
    <t xml:space="preserve">  T5
13/03</t>
  </si>
  <si>
    <t>T6 14/03</t>
  </si>
  <si>
    <t>12,4</t>
  </si>
  <si>
    <t>BẢNG ĐỊNH LƯỢNG THỰC PHẨM SUẤT ĂN BÁN TRÚ THÁNG 03/2025</t>
  </si>
  <si>
    <t>10</t>
  </si>
  <si>
    <t>18,4</t>
  </si>
  <si>
    <t>Từ ngày 17/03 đến ngày 21/03/2025</t>
  </si>
  <si>
    <t xml:space="preserve">  T2
17/03</t>
  </si>
  <si>
    <t xml:space="preserve">  T3
18/03</t>
  </si>
  <si>
    <t xml:space="preserve">  T4
19/03</t>
  </si>
  <si>
    <t xml:space="preserve">  T5
20/03</t>
  </si>
  <si>
    <t>T6 21/03</t>
  </si>
  <si>
    <t>9,3</t>
  </si>
  <si>
    <t>17,8</t>
  </si>
  <si>
    <t>5,5</t>
  </si>
  <si>
    <t>17,4</t>
  </si>
  <si>
    <t xml:space="preserve">Trứng cút </t>
  </si>
  <si>
    <t>Rau mùng tơi</t>
  </si>
  <si>
    <t xml:space="preserve">Mướp hương </t>
  </si>
  <si>
    <t xml:space="preserve">  T4
01/04</t>
  </si>
  <si>
    <t xml:space="preserve">  T4
02/04</t>
  </si>
  <si>
    <t xml:space="preserve">  T5
03/04</t>
  </si>
  <si>
    <t>T6    04/04</t>
  </si>
  <si>
    <t>BẢNG ĐỊNH LƯỢNG THỰC PHẨM SUẤT ĂN BÁN TRÚ THÁNG 04/2025</t>
  </si>
  <si>
    <t>Từ ngày 01/04 đến ngày 04/04/2025</t>
  </si>
  <si>
    <t xml:space="preserve">Rau ngót </t>
  </si>
  <si>
    <t>120</t>
  </si>
  <si>
    <t>cái</t>
  </si>
  <si>
    <t>8,5</t>
  </si>
  <si>
    <t>Nhờ bác hàng thịt lọc bì để riêng luôn</t>
  </si>
  <si>
    <t>4,1</t>
  </si>
  <si>
    <t>Cà chua</t>
  </si>
  <si>
    <t xml:space="preserve">Cải ngọt </t>
  </si>
  <si>
    <t>4</t>
  </si>
  <si>
    <t>Từ ngày 08/04 đến ngày 12/04/2025</t>
  </si>
  <si>
    <t xml:space="preserve">  T4
09/04</t>
  </si>
  <si>
    <t>Rầu hào Magi880ml</t>
  </si>
  <si>
    <t xml:space="preserve">  T3
08/04</t>
  </si>
  <si>
    <t xml:space="preserve">Bầu </t>
  </si>
  <si>
    <t>125</t>
  </si>
  <si>
    <t>17</t>
  </si>
  <si>
    <t xml:space="preserve">  T5
10/04</t>
  </si>
  <si>
    <t>T6    11/04</t>
  </si>
  <si>
    <t>còn 230 em 1 em nghỉ 1 tháng</t>
  </si>
  <si>
    <t>3 em nghỉ ngáy 10-11 còn 229</t>
  </si>
  <si>
    <t>15 em nghỉ ngáy 10-11 còn 229</t>
  </si>
  <si>
    <t>26,1</t>
  </si>
  <si>
    <t>9,9</t>
  </si>
  <si>
    <t>Tổng còn 228 em ăn</t>
  </si>
  <si>
    <t>8,9</t>
  </si>
  <si>
    <t>Từ ngày 15/04 đến ngày 1904/2025</t>
  </si>
  <si>
    <t xml:space="preserve">  T2
14/04</t>
  </si>
  <si>
    <t xml:space="preserve">  T3
15/04</t>
  </si>
  <si>
    <t xml:space="preserve">  T4
16/04</t>
  </si>
  <si>
    <t>T5    17/04</t>
  </si>
  <si>
    <t>T6    18/04</t>
  </si>
  <si>
    <t>Gừng</t>
  </si>
  <si>
    <t>127</t>
  </si>
  <si>
    <t>Bí đỏ</t>
  </si>
  <si>
    <t>Mùi tàu</t>
  </si>
  <si>
    <t>Cà chua đắt thế</t>
  </si>
  <si>
    <t>10,9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</si>
</sst>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_₫_-;\-* #,##0.00\ _₫_-;_-* &quot;-&quot;??\ _₫_-;_-@_-"/>
    <numFmt numFmtId="168" formatCode="#,##0.000"/>
    <numFmt numFmtId="169" formatCode="_(* #,##0.0_);_(* \(#,##0.0\);_(* &quot;-&quot;??_);_(@_)"/>
    <numFmt numFmtId="170" formatCode="&quot;$&quot;#,##0_);\(&quot;$&quot;#,##0\)"/>
    <numFmt numFmtId="171" formatCode="#,##0.0"/>
  </numFmts>
  <fonts count="31">
    <font>
      <sz val="11"/>
      <color theme="1"/>
      <name val="Arial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theme="1"/>
      <name val="Arial"/>
      <family val="2"/>
      <scheme val="minor"/>
    </font>
    <font>
      <sz val="14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rgb="FFFF0000"/>
      <name val="Arial"/>
      <family val="2"/>
      <scheme val="minor"/>
    </font>
    <font>
      <sz val="12"/>
      <color theme="1"/>
      <name val="Times New Roman"/>
      <family val="1"/>
    </font>
    <font>
      <sz val="8"/>
      <name val="Arial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VNbook-Antiqua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1"/>
      <charset val="163"/>
    </font>
    <font>
      <b/>
      <sz val="12"/>
      <color theme="1"/>
      <name val="Arial"/>
      <family val="2"/>
      <charset val="163"/>
      <scheme val="minor"/>
    </font>
    <font>
      <sz val="14"/>
      <color theme="1"/>
      <name val="Arial"/>
      <family val="2"/>
      <scheme val="minor"/>
    </font>
    <font>
      <sz val="12"/>
      <color rgb="FFFF0000"/>
      <name val="Times New Roman"/>
      <family val="1"/>
    </font>
    <font>
      <sz val="12"/>
      <color theme="1"/>
      <name val="Arial"/>
      <family val="2"/>
      <scheme val="minor"/>
    </font>
    <font>
      <sz val="12"/>
      <color rgb="FFFF0000"/>
      <name val="Arial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2"/>
      <color rgb="FFFF0000"/>
      <name val="Arial"/>
      <family val="2"/>
      <charset val="163"/>
      <scheme val="minor"/>
    </font>
    <font>
      <sz val="12"/>
      <name val="Arial"/>
      <family val="2"/>
      <scheme val="minor"/>
    </font>
    <font>
      <b/>
      <sz val="12"/>
      <color rgb="FFFF0000"/>
      <name val="Times New Roman"/>
      <family val="1"/>
      <charset val="163"/>
    </font>
    <font>
      <sz val="16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18" fillId="0" borderId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280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/>
    <xf numFmtId="165" fontId="1" fillId="0" borderId="1" xfId="1" applyNumberFormat="1" applyFont="1" applyBorder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5" xfId="0" applyFont="1" applyBorder="1"/>
    <xf numFmtId="3" fontId="5" fillId="0" borderId="5" xfId="0" applyNumberFormat="1" applyFont="1" applyBorder="1"/>
    <xf numFmtId="165" fontId="1" fillId="0" borderId="5" xfId="1" applyNumberFormat="1" applyFont="1" applyBorder="1"/>
    <xf numFmtId="0" fontId="5" fillId="0" borderId="5" xfId="0" applyFont="1" applyBorder="1"/>
    <xf numFmtId="0" fontId="1" fillId="0" borderId="9" xfId="0" applyFont="1" applyBorder="1"/>
    <xf numFmtId="165" fontId="1" fillId="0" borderId="9" xfId="1" applyNumberFormat="1" applyFont="1" applyBorder="1"/>
    <xf numFmtId="0" fontId="1" fillId="0" borderId="6" xfId="0" applyFont="1" applyBorder="1"/>
    <xf numFmtId="3" fontId="1" fillId="0" borderId="6" xfId="0" applyNumberFormat="1" applyFont="1" applyBorder="1"/>
    <xf numFmtId="165" fontId="1" fillId="0" borderId="6" xfId="1" applyNumberFormat="1" applyFont="1" applyBorder="1"/>
    <xf numFmtId="0" fontId="1" fillId="0" borderId="7" xfId="0" applyFont="1" applyBorder="1"/>
    <xf numFmtId="49" fontId="1" fillId="0" borderId="7" xfId="1" applyNumberFormat="1" applyFont="1" applyBorder="1"/>
    <xf numFmtId="165" fontId="1" fillId="0" borderId="7" xfId="1" applyNumberFormat="1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5" fontId="2" fillId="0" borderId="1" xfId="1" applyNumberFormat="1" applyFont="1" applyBorder="1"/>
    <xf numFmtId="165" fontId="2" fillId="0" borderId="1" xfId="0" applyNumberFormat="1" applyFont="1" applyBorder="1"/>
    <xf numFmtId="165" fontId="1" fillId="0" borderId="6" xfId="1" applyNumberFormat="1" applyFont="1" applyBorder="1" applyAlignment="1">
      <alignment horizontal="right"/>
    </xf>
    <xf numFmtId="165" fontId="2" fillId="0" borderId="6" xfId="1" applyNumberFormat="1" applyFont="1" applyBorder="1"/>
    <xf numFmtId="165" fontId="1" fillId="0" borderId="6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/>
    <xf numFmtId="165" fontId="1" fillId="0" borderId="4" xfId="1" applyNumberFormat="1" applyFont="1" applyBorder="1"/>
    <xf numFmtId="0" fontId="11" fillId="0" borderId="0" xfId="0" applyFont="1"/>
    <xf numFmtId="168" fontId="1" fillId="0" borderId="6" xfId="0" applyNumberFormat="1" applyFont="1" applyBorder="1"/>
    <xf numFmtId="0" fontId="1" fillId="0" borderId="4" xfId="0" applyFont="1" applyBorder="1"/>
    <xf numFmtId="49" fontId="1" fillId="0" borderId="4" xfId="1" applyNumberFormat="1" applyFont="1" applyBorder="1"/>
    <xf numFmtId="3" fontId="1" fillId="0" borderId="7" xfId="0" applyNumberFormat="1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4" xfId="0" applyFont="1" applyBorder="1"/>
    <xf numFmtId="3" fontId="1" fillId="0" borderId="14" xfId="0" applyNumberFormat="1" applyFont="1" applyBorder="1"/>
    <xf numFmtId="0" fontId="12" fillId="0" borderId="6" xfId="0" applyFont="1" applyBorder="1"/>
    <xf numFmtId="165" fontId="1" fillId="0" borderId="2" xfId="1" applyNumberFormat="1" applyFont="1" applyBorder="1"/>
    <xf numFmtId="3" fontId="5" fillId="0" borderId="9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6" xfId="1" applyNumberFormat="1" applyFont="1" applyBorder="1" applyAlignment="1">
      <alignment horizontal="center" vertical="center"/>
    </xf>
    <xf numFmtId="49" fontId="1" fillId="0" borderId="14" xfId="1" applyNumberFormat="1" applyFont="1" applyBorder="1" applyAlignment="1">
      <alignment horizontal="center" vertical="center"/>
    </xf>
    <xf numFmtId="49" fontId="1" fillId="0" borderId="7" xfId="1" applyNumberFormat="1" applyFont="1" applyBorder="1" applyAlignment="1">
      <alignment horizontal="center" vertical="center"/>
    </xf>
    <xf numFmtId="165" fontId="1" fillId="0" borderId="6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9" fontId="1" fillId="0" borderId="6" xfId="1" applyNumberFormat="1" applyFont="1" applyBorder="1" applyAlignment="1">
      <alignment horizontal="center" vertical="center"/>
    </xf>
    <xf numFmtId="49" fontId="1" fillId="0" borderId="9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3" fontId="3" fillId="0" borderId="5" xfId="0" applyNumberFormat="1" applyFont="1" applyBorder="1"/>
    <xf numFmtId="0" fontId="11" fillId="2" borderId="0" xfId="0" applyFont="1" applyFill="1"/>
    <xf numFmtId="3" fontId="3" fillId="0" borderId="6" xfId="0" applyNumberFormat="1" applyFont="1" applyBorder="1"/>
    <xf numFmtId="165" fontId="3" fillId="0" borderId="6" xfId="1" applyNumberFormat="1" applyFont="1" applyBorder="1"/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3" fontId="3" fillId="0" borderId="9" xfId="0" applyNumberFormat="1" applyFont="1" applyBorder="1"/>
    <xf numFmtId="0" fontId="3" fillId="0" borderId="15" xfId="0" applyFont="1" applyBorder="1"/>
    <xf numFmtId="3" fontId="3" fillId="0" borderId="15" xfId="0" applyNumberFormat="1" applyFont="1" applyBorder="1"/>
    <xf numFmtId="0" fontId="3" fillId="0" borderId="16" xfId="0" applyFont="1" applyBorder="1"/>
    <xf numFmtId="0" fontId="3" fillId="0" borderId="7" xfId="0" applyFont="1" applyBorder="1"/>
    <xf numFmtId="49" fontId="3" fillId="0" borderId="5" xfId="1" applyNumberFormat="1" applyFont="1" applyBorder="1" applyAlignment="1">
      <alignment horizontal="right"/>
    </xf>
    <xf numFmtId="49" fontId="3" fillId="0" borderId="6" xfId="1" applyNumberFormat="1" applyFont="1" applyBorder="1" applyAlignment="1">
      <alignment horizontal="right"/>
    </xf>
    <xf numFmtId="0" fontId="3" fillId="0" borderId="17" xfId="0" applyFont="1" applyBorder="1"/>
    <xf numFmtId="165" fontId="3" fillId="0" borderId="6" xfId="0" applyNumberFormat="1" applyFont="1" applyBorder="1"/>
    <xf numFmtId="49" fontId="3" fillId="0" borderId="9" xfId="1" applyNumberFormat="1" applyFont="1" applyBorder="1" applyAlignment="1">
      <alignment horizontal="right"/>
    </xf>
    <xf numFmtId="49" fontId="3" fillId="0" borderId="1" xfId="1" applyNumberFormat="1" applyFont="1" applyBorder="1" applyAlignment="1">
      <alignment horizontal="right"/>
    </xf>
    <xf numFmtId="49" fontId="3" fillId="0" borderId="1" xfId="0" applyNumberFormat="1" applyFont="1" applyBorder="1"/>
    <xf numFmtId="49" fontId="3" fillId="0" borderId="6" xfId="0" applyNumberFormat="1" applyFont="1" applyBorder="1"/>
    <xf numFmtId="49" fontId="3" fillId="0" borderId="9" xfId="0" applyNumberFormat="1" applyFont="1" applyBorder="1"/>
    <xf numFmtId="49" fontId="1" fillId="0" borderId="5" xfId="0" applyNumberFormat="1" applyFont="1" applyBorder="1"/>
    <xf numFmtId="49" fontId="1" fillId="0" borderId="2" xfId="0" applyNumberFormat="1" applyFont="1" applyBorder="1"/>
    <xf numFmtId="49" fontId="1" fillId="0" borderId="9" xfId="0" applyNumberFormat="1" applyFont="1" applyBorder="1"/>
    <xf numFmtId="49" fontId="1" fillId="0" borderId="6" xfId="0" applyNumberFormat="1" applyFont="1" applyBorder="1"/>
    <xf numFmtId="0" fontId="3" fillId="0" borderId="2" xfId="0" applyFont="1" applyBorder="1"/>
    <xf numFmtId="3" fontId="3" fillId="0" borderId="2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19" fillId="0" borderId="7" xfId="0" applyFont="1" applyBorder="1"/>
    <xf numFmtId="49" fontId="19" fillId="0" borderId="7" xfId="1" applyNumberFormat="1" applyFont="1" applyBorder="1"/>
    <xf numFmtId="0" fontId="0" fillId="0" borderId="13" xfId="0" applyBorder="1"/>
    <xf numFmtId="0" fontId="2" fillId="3" borderId="0" xfId="0" applyFont="1" applyFill="1" applyAlignment="1">
      <alignment horizontal="center"/>
    </xf>
    <xf numFmtId="0" fontId="21" fillId="0" borderId="0" xfId="0" applyFont="1"/>
    <xf numFmtId="0" fontId="22" fillId="0" borderId="2" xfId="0" applyFont="1" applyBorder="1"/>
    <xf numFmtId="49" fontId="12" fillId="0" borderId="5" xfId="0" applyNumberFormat="1" applyFont="1" applyBorder="1"/>
    <xf numFmtId="0" fontId="12" fillId="0" borderId="5" xfId="0" applyFont="1" applyBorder="1"/>
    <xf numFmtId="3" fontId="22" fillId="0" borderId="2" xfId="0" applyNumberFormat="1" applyFont="1" applyBorder="1"/>
    <xf numFmtId="165" fontId="12" fillId="0" borderId="5" xfId="1" applyNumberFormat="1" applyFont="1" applyBorder="1"/>
    <xf numFmtId="0" fontId="23" fillId="2" borderId="0" xfId="0" applyFont="1" applyFill="1"/>
    <xf numFmtId="0" fontId="23" fillId="0" borderId="0" xfId="0" applyFont="1"/>
    <xf numFmtId="3" fontId="12" fillId="0" borderId="6" xfId="0" applyNumberFormat="1" applyFont="1" applyBorder="1"/>
    <xf numFmtId="165" fontId="12" fillId="0" borderId="6" xfId="1" applyNumberFormat="1" applyFont="1" applyBorder="1"/>
    <xf numFmtId="0" fontId="12" fillId="0" borderId="3" xfId="0" applyFont="1" applyBorder="1" applyAlignment="1">
      <alignment vertical="center"/>
    </xf>
    <xf numFmtId="164" fontId="23" fillId="0" borderId="0" xfId="1" applyFont="1"/>
    <xf numFmtId="165" fontId="23" fillId="0" borderId="0" xfId="1" applyNumberFormat="1" applyFont="1"/>
    <xf numFmtId="0" fontId="12" fillId="0" borderId="7" xfId="0" applyFont="1" applyBorder="1"/>
    <xf numFmtId="49" fontId="12" fillId="0" borderId="7" xfId="1" applyNumberFormat="1" applyFont="1" applyBorder="1"/>
    <xf numFmtId="165" fontId="23" fillId="0" borderId="0" xfId="0" applyNumberFormat="1" applyFont="1"/>
    <xf numFmtId="165" fontId="12" fillId="0" borderId="0" xfId="1" applyNumberFormat="1" applyFont="1" applyBorder="1"/>
    <xf numFmtId="165" fontId="12" fillId="0" borderId="7" xfId="1" applyNumberFormat="1" applyFont="1" applyBorder="1"/>
    <xf numFmtId="0" fontId="24" fillId="0" borderId="0" xfId="0" applyFont="1"/>
    <xf numFmtId="166" fontId="23" fillId="0" borderId="0" xfId="0" applyNumberFormat="1" applyFont="1"/>
    <xf numFmtId="49" fontId="12" fillId="0" borderId="2" xfId="0" applyNumberFormat="1" applyFont="1" applyBorder="1" applyAlignment="1">
      <alignment horizontal="center"/>
    </xf>
    <xf numFmtId="3" fontId="25" fillId="0" borderId="5" xfId="0" applyNumberFormat="1" applyFont="1" applyBorder="1"/>
    <xf numFmtId="49" fontId="12" fillId="0" borderId="6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5" fontId="20" fillId="0" borderId="0" xfId="0" applyNumberFormat="1" applyFont="1"/>
    <xf numFmtId="0" fontId="20" fillId="0" borderId="0" xfId="0" applyFont="1"/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/>
    <xf numFmtId="0" fontId="26" fillId="0" borderId="11" xfId="0" applyFont="1" applyBorder="1"/>
    <xf numFmtId="49" fontId="26" fillId="0" borderId="11" xfId="1" applyNumberFormat="1" applyFont="1" applyBorder="1"/>
    <xf numFmtId="165" fontId="26" fillId="0" borderId="1" xfId="1" applyNumberFormat="1" applyFont="1" applyBorder="1"/>
    <xf numFmtId="0" fontId="27" fillId="0" borderId="0" xfId="0" applyFont="1"/>
    <xf numFmtId="0" fontId="12" fillId="0" borderId="2" xfId="0" applyFont="1" applyBorder="1" applyAlignment="1">
      <alignment horizontal="center"/>
    </xf>
    <xf numFmtId="0" fontId="12" fillId="0" borderId="18" xfId="0" applyFont="1" applyBorder="1"/>
    <xf numFmtId="0" fontId="12" fillId="0" borderId="3" xfId="0" applyFont="1" applyBorder="1"/>
    <xf numFmtId="165" fontId="12" fillId="0" borderId="3" xfId="1" applyNumberFormat="1" applyFont="1" applyBorder="1"/>
    <xf numFmtId="0" fontId="12" fillId="0" borderId="9" xfId="0" applyFont="1" applyBorder="1"/>
    <xf numFmtId="0" fontId="12" fillId="0" borderId="6" xfId="0" applyFont="1" applyBorder="1" applyAlignment="1">
      <alignment horizontal="center"/>
    </xf>
    <xf numFmtId="0" fontId="12" fillId="0" borderId="20" xfId="0" applyFont="1" applyBorder="1"/>
    <xf numFmtId="3" fontId="25" fillId="0" borderId="9" xfId="0" applyNumberFormat="1" applyFont="1" applyBorder="1"/>
    <xf numFmtId="0" fontId="12" fillId="0" borderId="19" xfId="0" applyFont="1" applyBorder="1" applyAlignment="1">
      <alignment horizontal="center"/>
    </xf>
    <xf numFmtId="0" fontId="12" fillId="0" borderId="21" xfId="0" applyFont="1" applyBorder="1"/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0" fontId="22" fillId="0" borderId="4" xfId="0" applyFont="1" applyBorder="1"/>
    <xf numFmtId="164" fontId="21" fillId="0" borderId="0" xfId="1" applyFont="1"/>
    <xf numFmtId="165" fontId="23" fillId="2" borderId="0" xfId="0" applyNumberFormat="1" applyFont="1" applyFill="1"/>
    <xf numFmtId="165" fontId="27" fillId="0" borderId="0" xfId="0" applyNumberFormat="1" applyFont="1"/>
    <xf numFmtId="0" fontId="22" fillId="0" borderId="2" xfId="0" applyFont="1" applyBorder="1" applyAlignment="1">
      <alignment horizontal="center"/>
    </xf>
    <xf numFmtId="171" fontId="12" fillId="0" borderId="6" xfId="0" applyNumberFormat="1" applyFont="1" applyBorder="1" applyAlignment="1">
      <alignment horizontal="center"/>
    </xf>
    <xf numFmtId="49" fontId="22" fillId="0" borderId="1" xfId="1" applyNumberFormat="1" applyFont="1" applyBorder="1" applyAlignment="1">
      <alignment horizontal="center"/>
    </xf>
    <xf numFmtId="49" fontId="22" fillId="0" borderId="3" xfId="1" applyNumberFormat="1" applyFont="1" applyBorder="1" applyAlignment="1">
      <alignment horizontal="center"/>
    </xf>
    <xf numFmtId="49" fontId="22" fillId="0" borderId="6" xfId="1" applyNumberFormat="1" applyFont="1" applyBorder="1" applyAlignment="1">
      <alignment horizontal="center"/>
    </xf>
    <xf numFmtId="49" fontId="22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6" xfId="1" applyNumberFormat="1" applyFont="1" applyBorder="1" applyAlignment="1">
      <alignment horizontal="center"/>
    </xf>
    <xf numFmtId="165" fontId="1" fillId="0" borderId="6" xfId="1" applyNumberFormat="1" applyFont="1" applyBorder="1" applyAlignment="1">
      <alignment horizontal="center"/>
    </xf>
    <xf numFmtId="0" fontId="12" fillId="0" borderId="2" xfId="0" applyFont="1" applyBorder="1"/>
    <xf numFmtId="0" fontId="22" fillId="0" borderId="5" xfId="0" applyFont="1" applyBorder="1"/>
    <xf numFmtId="0" fontId="22" fillId="0" borderId="6" xfId="0" applyFont="1" applyBorder="1"/>
    <xf numFmtId="0" fontId="22" fillId="0" borderId="6" xfId="0" applyFont="1" applyBorder="1" applyAlignment="1">
      <alignment horizontal="center"/>
    </xf>
    <xf numFmtId="165" fontId="24" fillId="0" borderId="0" xfId="0" applyNumberFormat="1" applyFont="1"/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165" fontId="22" fillId="0" borderId="4" xfId="1" applyNumberFormat="1" applyFont="1" applyBorder="1"/>
    <xf numFmtId="165" fontId="10" fillId="0" borderId="1" xfId="1" applyNumberFormat="1" applyFont="1" applyBorder="1"/>
    <xf numFmtId="0" fontId="28" fillId="0" borderId="0" xfId="0" applyFont="1"/>
    <xf numFmtId="0" fontId="25" fillId="0" borderId="3" xfId="0" applyFont="1" applyBorder="1" applyAlignment="1">
      <alignment vertical="center"/>
    </xf>
    <xf numFmtId="14" fontId="25" fillId="0" borderId="3" xfId="0" applyNumberFormat="1" applyFont="1" applyBorder="1" applyAlignment="1">
      <alignment horizontal="center" vertical="center" wrapText="1"/>
    </xf>
    <xf numFmtId="165" fontId="28" fillId="0" borderId="0" xfId="1" applyNumberFormat="1" applyFont="1"/>
    <xf numFmtId="164" fontId="28" fillId="0" borderId="0" xfId="1" applyFont="1"/>
    <xf numFmtId="49" fontId="22" fillId="0" borderId="3" xfId="0" applyNumberFormat="1" applyFont="1" applyBorder="1" applyAlignment="1">
      <alignment horizontal="center"/>
    </xf>
    <xf numFmtId="0" fontId="22" fillId="0" borderId="3" xfId="0" applyFont="1" applyBorder="1"/>
    <xf numFmtId="3" fontId="22" fillId="0" borderId="3" xfId="0" applyNumberFormat="1" applyFont="1" applyBorder="1"/>
    <xf numFmtId="165" fontId="22" fillId="0" borderId="3" xfId="1" applyNumberFormat="1" applyFont="1" applyBorder="1"/>
    <xf numFmtId="49" fontId="22" fillId="0" borderId="6" xfId="0" applyNumberFormat="1" applyFont="1" applyBorder="1" applyAlignment="1">
      <alignment horizontal="center"/>
    </xf>
    <xf numFmtId="3" fontId="22" fillId="0" borderId="6" xfId="0" applyNumberFormat="1" applyFont="1" applyBorder="1"/>
    <xf numFmtId="165" fontId="22" fillId="0" borderId="6" xfId="1" applyNumberFormat="1" applyFont="1" applyBorder="1"/>
    <xf numFmtId="49" fontId="22" fillId="0" borderId="14" xfId="0" applyNumberFormat="1" applyFont="1" applyBorder="1" applyAlignment="1">
      <alignment horizontal="center"/>
    </xf>
    <xf numFmtId="0" fontId="22" fillId="0" borderId="7" xfId="0" applyFont="1" applyBorder="1"/>
    <xf numFmtId="49" fontId="22" fillId="0" borderId="7" xfId="1" applyNumberFormat="1" applyFont="1" applyBorder="1" applyAlignment="1">
      <alignment horizontal="center" vertical="center"/>
    </xf>
    <xf numFmtId="49" fontId="22" fillId="0" borderId="7" xfId="1" applyNumberFormat="1" applyFont="1" applyBorder="1"/>
    <xf numFmtId="165" fontId="22" fillId="0" borderId="7" xfId="1" applyNumberFormat="1" applyFont="1" applyBorder="1"/>
    <xf numFmtId="14" fontId="22" fillId="0" borderId="3" xfId="0" applyNumberFormat="1" applyFont="1" applyBorder="1" applyAlignment="1">
      <alignment horizontal="center" vertical="center" wrapText="1"/>
    </xf>
    <xf numFmtId="165" fontId="24" fillId="2" borderId="0" xfId="0" applyNumberFormat="1" applyFont="1" applyFill="1"/>
    <xf numFmtId="165" fontId="1" fillId="0" borderId="14" xfId="1" applyNumberFormat="1" applyFont="1" applyBorder="1"/>
    <xf numFmtId="49" fontId="1" fillId="0" borderId="5" xfId="1" applyNumberFormat="1" applyFont="1" applyBorder="1" applyAlignment="1">
      <alignment horizontal="center"/>
    </xf>
    <xf numFmtId="49" fontId="1" fillId="0" borderId="6" xfId="1" applyNumberFormat="1" applyFont="1" applyBorder="1" applyAlignment="1">
      <alignment horizontal="center"/>
    </xf>
    <xf numFmtId="49" fontId="1" fillId="0" borderId="14" xfId="1" applyNumberFormat="1" applyFont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/>
    <xf numFmtId="3" fontId="22" fillId="0" borderId="1" xfId="0" applyNumberFormat="1" applyFont="1" applyBorder="1"/>
    <xf numFmtId="165" fontId="22" fillId="0" borderId="1" xfId="1" applyNumberFormat="1" applyFont="1" applyBorder="1"/>
    <xf numFmtId="0" fontId="26" fillId="0" borderId="7" xfId="0" applyFont="1" applyBorder="1"/>
    <xf numFmtId="49" fontId="26" fillId="0" borderId="7" xfId="1" applyNumberFormat="1" applyFont="1" applyBorder="1"/>
    <xf numFmtId="165" fontId="29" fillId="0" borderId="7" xfId="1" applyNumberFormat="1" applyFont="1" applyBorder="1"/>
    <xf numFmtId="169" fontId="1" fillId="0" borderId="6" xfId="1" applyNumberFormat="1" applyFont="1" applyBorder="1" applyAlignment="1">
      <alignment horizontal="center"/>
    </xf>
    <xf numFmtId="164" fontId="24" fillId="0" borderId="0" xfId="1" applyFont="1"/>
    <xf numFmtId="49" fontId="12" fillId="0" borderId="3" xfId="1" applyNumberFormat="1" applyFont="1" applyBorder="1" applyAlignment="1">
      <alignment horizontal="center"/>
    </xf>
    <xf numFmtId="3" fontId="12" fillId="0" borderId="3" xfId="0" applyNumberFormat="1" applyFont="1" applyBorder="1"/>
    <xf numFmtId="3" fontId="12" fillId="0" borderId="2" xfId="0" applyNumberFormat="1" applyFont="1" applyBorder="1"/>
    <xf numFmtId="49" fontId="12" fillId="0" borderId="6" xfId="1" applyNumberFormat="1" applyFont="1" applyBorder="1" applyAlignment="1">
      <alignment horizontal="center"/>
    </xf>
    <xf numFmtId="165" fontId="1" fillId="0" borderId="6" xfId="1" applyNumberFormat="1" applyFont="1" applyBorder="1" applyAlignment="1"/>
    <xf numFmtId="0" fontId="14" fillId="0" borderId="6" xfId="0" applyFont="1" applyBorder="1" applyAlignment="1">
      <alignment horizontal="center" wrapText="1"/>
    </xf>
    <xf numFmtId="49" fontId="12" fillId="0" borderId="7" xfId="1" applyNumberFormat="1" applyFont="1" applyBorder="1" applyAlignment="1">
      <alignment horizontal="center"/>
    </xf>
    <xf numFmtId="49" fontId="26" fillId="0" borderId="1" xfId="1" applyNumberFormat="1" applyFont="1" applyBorder="1" applyAlignment="1">
      <alignment horizontal="center"/>
    </xf>
    <xf numFmtId="169" fontId="12" fillId="0" borderId="6" xfId="1" applyNumberFormat="1" applyFont="1" applyBorder="1" applyAlignment="1">
      <alignment horizontal="center"/>
    </xf>
    <xf numFmtId="49" fontId="1" fillId="0" borderId="7" xfId="1" applyNumberFormat="1" applyFont="1" applyBorder="1" applyAlignment="1">
      <alignment horizontal="center"/>
    </xf>
    <xf numFmtId="49" fontId="22" fillId="0" borderId="7" xfId="1" applyNumberFormat="1" applyFont="1" applyBorder="1" applyAlignment="1">
      <alignment horizontal="center"/>
    </xf>
    <xf numFmtId="169" fontId="22" fillId="0" borderId="1" xfId="1" applyNumberFormat="1" applyFont="1" applyBorder="1" applyAlignment="1">
      <alignment horizontal="center"/>
    </xf>
    <xf numFmtId="169" fontId="22" fillId="0" borderId="6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26" fillId="0" borderId="7" xfId="1" applyNumberFormat="1" applyFont="1" applyBorder="1" applyAlignment="1">
      <alignment horizontal="center"/>
    </xf>
    <xf numFmtId="0" fontId="30" fillId="2" borderId="0" xfId="0" applyFont="1" applyFill="1"/>
    <xf numFmtId="0" fontId="22" fillId="0" borderId="3" xfId="0" applyFont="1" applyBorder="1" applyAlignment="1">
      <alignment vertical="center"/>
    </xf>
    <xf numFmtId="0" fontId="26" fillId="0" borderId="3" xfId="0" applyFont="1" applyBorder="1"/>
    <xf numFmtId="0" fontId="26" fillId="0" borderId="14" xfId="0" applyFont="1" applyBorder="1"/>
    <xf numFmtId="49" fontId="26" fillId="0" borderId="3" xfId="1" applyNumberFormat="1" applyFont="1" applyBorder="1" applyAlignment="1">
      <alignment horizontal="center"/>
    </xf>
    <xf numFmtId="49" fontId="26" fillId="0" borderId="3" xfId="1" applyNumberFormat="1" applyFont="1" applyBorder="1"/>
    <xf numFmtId="165" fontId="26" fillId="0" borderId="3" xfId="1" applyNumberFormat="1" applyFont="1" applyBorder="1"/>
    <xf numFmtId="0" fontId="29" fillId="0" borderId="1" xfId="0" applyFont="1" applyBorder="1" applyAlignment="1">
      <alignment vertical="center"/>
    </xf>
    <xf numFmtId="49" fontId="19" fillId="0" borderId="7" xfId="1" applyNumberFormat="1" applyFont="1" applyBorder="1" applyAlignment="1">
      <alignment horizontal="center"/>
    </xf>
    <xf numFmtId="165" fontId="19" fillId="0" borderId="1" xfId="1" applyNumberFormat="1" applyFont="1" applyBorder="1"/>
    <xf numFmtId="49" fontId="22" fillId="0" borderId="5" xfId="0" applyNumberFormat="1" applyFont="1" applyBorder="1"/>
    <xf numFmtId="165" fontId="22" fillId="0" borderId="5" xfId="1" applyNumberFormat="1" applyFont="1" applyBorder="1"/>
    <xf numFmtId="0" fontId="22" fillId="0" borderId="9" xfId="0" applyFont="1" applyBorder="1"/>
    <xf numFmtId="0" fontId="22" fillId="0" borderId="19" xfId="0" applyFont="1" applyBorder="1" applyAlignment="1">
      <alignment horizontal="center"/>
    </xf>
    <xf numFmtId="171" fontId="22" fillId="0" borderId="6" xfId="0" applyNumberFormat="1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3" fontId="22" fillId="0" borderId="5" xfId="0" applyNumberFormat="1" applyFont="1" applyBorder="1"/>
    <xf numFmtId="0" fontId="22" fillId="0" borderId="20" xfId="0" applyFont="1" applyBorder="1"/>
    <xf numFmtId="0" fontId="22" fillId="0" borderId="9" xfId="0" applyFont="1" applyBorder="1" applyAlignment="1">
      <alignment horizontal="center"/>
    </xf>
    <xf numFmtId="0" fontId="29" fillId="0" borderId="2" xfId="0" applyFont="1" applyBorder="1"/>
    <xf numFmtId="0" fontId="29" fillId="0" borderId="2" xfId="0" applyFont="1" applyBorder="1" applyAlignment="1">
      <alignment horizontal="center"/>
    </xf>
    <xf numFmtId="0" fontId="29" fillId="0" borderId="3" xfId="0" applyFont="1" applyBorder="1"/>
    <xf numFmtId="169" fontId="29" fillId="0" borderId="1" xfId="1" applyNumberFormat="1" applyFont="1" applyBorder="1" applyAlignment="1">
      <alignment horizontal="center"/>
    </xf>
    <xf numFmtId="3" fontId="29" fillId="0" borderId="2" xfId="0" applyNumberFormat="1" applyFont="1" applyBorder="1"/>
    <xf numFmtId="165" fontId="29" fillId="0" borderId="2" xfId="1" applyNumberFormat="1" applyFont="1" applyBorder="1"/>
    <xf numFmtId="14" fontId="22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14" fontId="12" fillId="0" borderId="2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4" fontId="25" fillId="0" borderId="3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169" fontId="3" fillId="0" borderId="6" xfId="1" applyNumberFormat="1" applyFont="1" applyBorder="1"/>
  </cellXfs>
  <cellStyles count="8">
    <cellStyle name="Comma" xfId="1" builtinId="3"/>
    <cellStyle name="Comma 2" xfId="4" xr:uid="{E8F88A43-1A7C-4FA7-B7E0-3F74EBC44583}"/>
    <cellStyle name="Comma 3" xfId="7" xr:uid="{53BF0BEE-1707-42F1-BDF0-8B468A394C3A}"/>
    <cellStyle name="Comma 4" xfId="6" xr:uid="{4FE210F7-C60D-4A02-9A41-2357F20F6065}"/>
    <cellStyle name="Comma 5" xfId="3" xr:uid="{C4969DDC-215D-45B6-A040-E45C8DA8996B}"/>
    <cellStyle name="Normal" xfId="0" builtinId="0"/>
    <cellStyle name="Normal 2" xfId="5" xr:uid="{418165E4-1A00-40FC-BACE-94DF9A41D36A}"/>
    <cellStyle name="Normal 3" xfId="2" xr:uid="{4B92E9C6-F959-4EC2-9349-2E8F1D3D17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894E-32BF-4534-8A54-263BB4D6E262}">
  <dimension ref="A1:Q428"/>
  <sheetViews>
    <sheetView topLeftCell="A52" zoomScaleNormal="100" workbookViewId="0">
      <selection activeCell="I56" sqref="I56"/>
    </sheetView>
  </sheetViews>
  <sheetFormatPr defaultRowHeight="13.8"/>
  <cols>
    <col min="1" max="1" width="5.796875" customWidth="1"/>
    <col min="2" max="2" width="24.59765625" customWidth="1"/>
    <col min="3" max="3" width="8.8984375" style="42" customWidth="1"/>
    <col min="4" max="4" width="6.796875" customWidth="1"/>
    <col min="5" max="5" width="7.8984375" style="42" customWidth="1"/>
    <col min="6" max="6" width="4.8984375" customWidth="1"/>
    <col min="7" max="7" width="10.09765625" customWidth="1"/>
    <col min="8" max="8" width="13.296875" customWidth="1"/>
    <col min="9" max="9" width="43" customWidth="1"/>
    <col min="10" max="10" width="10.296875" bestFit="1" customWidth="1"/>
  </cols>
  <sheetData>
    <row r="1" spans="1:17" ht="15.6">
      <c r="A1" s="6" t="s">
        <v>0</v>
      </c>
      <c r="B1" s="6"/>
    </row>
    <row r="2" spans="1:17" s="102" customFormat="1" ht="16.8" customHeight="1">
      <c r="A2" s="244" t="s">
        <v>171</v>
      </c>
      <c r="B2" s="244"/>
      <c r="C2" s="244"/>
      <c r="D2" s="244"/>
      <c r="E2" s="244"/>
      <c r="F2" s="244"/>
      <c r="G2" s="244"/>
      <c r="H2" s="244"/>
      <c r="I2" s="149">
        <f>1996200/15</f>
        <v>133080</v>
      </c>
    </row>
    <row r="3" spans="1:17" s="102" customFormat="1" ht="16.2" customHeight="1">
      <c r="A3" s="101"/>
      <c r="B3" s="245" t="s">
        <v>198</v>
      </c>
      <c r="C3" s="245"/>
      <c r="D3" s="245"/>
      <c r="E3" s="245"/>
      <c r="F3" s="245"/>
      <c r="G3" s="245"/>
      <c r="H3" s="245"/>
    </row>
    <row r="4" spans="1:17" s="109" customFormat="1" ht="15" customHeight="1">
      <c r="A4" s="246" t="s">
        <v>199</v>
      </c>
      <c r="B4" s="161" t="s">
        <v>10</v>
      </c>
      <c r="C4" s="104">
        <f>E4/D4</f>
        <v>0.12149122807017544</v>
      </c>
      <c r="D4" s="163">
        <v>228</v>
      </c>
      <c r="E4" s="135">
        <v>27.7</v>
      </c>
      <c r="F4" s="105" t="s">
        <v>1</v>
      </c>
      <c r="G4" s="205">
        <v>21000</v>
      </c>
      <c r="H4" s="107">
        <f>E4*G4</f>
        <v>581700</v>
      </c>
      <c r="I4" s="150" t="e">
        <f>#REF!-#REF!</f>
        <v>#REF!</v>
      </c>
    </row>
    <row r="5" spans="1:17" s="109" customFormat="1" ht="15" customHeight="1">
      <c r="A5" s="247"/>
      <c r="B5" s="45" t="s">
        <v>5</v>
      </c>
      <c r="C5" s="45">
        <f>E5/D5</f>
        <v>7.0175438596491224E-2</v>
      </c>
      <c r="D5" s="163">
        <v>228</v>
      </c>
      <c r="E5" s="140">
        <v>16</v>
      </c>
      <c r="F5" s="45" t="s">
        <v>1</v>
      </c>
      <c r="G5" s="110">
        <v>141750</v>
      </c>
      <c r="H5" s="111">
        <f>E5*G5</f>
        <v>2268000</v>
      </c>
      <c r="I5" s="113">
        <f>I6*17000</f>
        <v>0</v>
      </c>
    </row>
    <row r="6" spans="1:17" s="109" customFormat="1" ht="15" customHeight="1">
      <c r="A6" s="247"/>
      <c r="B6" s="45" t="s">
        <v>42</v>
      </c>
      <c r="C6" s="45">
        <f t="shared" ref="C6:C7" si="0">E6/D6</f>
        <v>3.0701754385964912E-3</v>
      </c>
      <c r="D6" s="141">
        <v>228</v>
      </c>
      <c r="E6" s="206" t="s">
        <v>43</v>
      </c>
      <c r="F6" s="45" t="s">
        <v>1</v>
      </c>
      <c r="G6" s="110">
        <v>304500</v>
      </c>
      <c r="H6" s="111">
        <f t="shared" ref="H6:H10" si="1">E6*G6</f>
        <v>213150</v>
      </c>
    </row>
    <row r="7" spans="1:17" s="109" customFormat="1" ht="15" customHeight="1">
      <c r="A7" s="247"/>
      <c r="B7" s="45" t="s">
        <v>44</v>
      </c>
      <c r="C7" s="45">
        <f t="shared" si="0"/>
        <v>3.2017543859649125E-2</v>
      </c>
      <c r="D7" s="163">
        <v>228</v>
      </c>
      <c r="E7" s="206" t="s">
        <v>120</v>
      </c>
      <c r="F7" s="45" t="s">
        <v>1</v>
      </c>
      <c r="G7" s="110">
        <v>67200</v>
      </c>
      <c r="H7" s="111">
        <f t="shared" si="1"/>
        <v>490560</v>
      </c>
      <c r="I7" s="121"/>
    </row>
    <row r="8" spans="1:17" s="109" customFormat="1" ht="15" customHeight="1">
      <c r="A8" s="247"/>
      <c r="B8" s="45" t="s">
        <v>63</v>
      </c>
      <c r="C8" s="140"/>
      <c r="D8" s="141">
        <v>228</v>
      </c>
      <c r="E8" s="140">
        <v>0.1</v>
      </c>
      <c r="F8" s="45" t="s">
        <v>3</v>
      </c>
      <c r="G8" s="110">
        <v>36750</v>
      </c>
      <c r="H8" s="111">
        <f t="shared" si="1"/>
        <v>3675</v>
      </c>
    </row>
    <row r="9" spans="1:17" s="109" customFormat="1" ht="15" customHeight="1">
      <c r="A9" s="247"/>
      <c r="B9" s="45" t="s">
        <v>131</v>
      </c>
      <c r="C9" s="125"/>
      <c r="D9" s="45"/>
      <c r="E9" s="206" t="s">
        <v>135</v>
      </c>
      <c r="F9" s="45" t="s">
        <v>1</v>
      </c>
      <c r="G9" s="110">
        <v>31500</v>
      </c>
      <c r="H9" s="111">
        <f t="shared" si="1"/>
        <v>166950</v>
      </c>
      <c r="I9" s="114">
        <f>228*17000</f>
        <v>3876000</v>
      </c>
      <c r="K9" s="161" t="s">
        <v>20</v>
      </c>
      <c r="L9" s="147">
        <f>N9/M9</f>
        <v>0.12202643171806167</v>
      </c>
      <c r="M9" s="45">
        <v>227</v>
      </c>
      <c r="N9" s="203" t="s">
        <v>114</v>
      </c>
      <c r="O9" s="137" t="s">
        <v>1</v>
      </c>
      <c r="P9" s="204">
        <v>21000</v>
      </c>
      <c r="Q9" s="138">
        <f>N9*P9</f>
        <v>581700</v>
      </c>
    </row>
    <row r="10" spans="1:17" s="109" customFormat="1" ht="15" customHeight="1">
      <c r="A10" s="247"/>
      <c r="B10" s="45" t="s">
        <v>11</v>
      </c>
      <c r="C10" s="45"/>
      <c r="D10" s="45"/>
      <c r="E10" s="140">
        <v>0.1</v>
      </c>
      <c r="F10" s="45" t="s">
        <v>1</v>
      </c>
      <c r="G10" s="110">
        <v>57750</v>
      </c>
      <c r="H10" s="111">
        <f t="shared" si="1"/>
        <v>5775</v>
      </c>
      <c r="K10" s="137" t="s">
        <v>125</v>
      </c>
      <c r="L10" s="124">
        <f t="shared" ref="L10:L12" si="2">N10/M10</f>
        <v>7.4889867841409691E-2</v>
      </c>
      <c r="M10" s="45">
        <v>227</v>
      </c>
      <c r="N10" s="203" t="s">
        <v>188</v>
      </c>
      <c r="O10" s="45" t="s">
        <v>1</v>
      </c>
      <c r="P10" s="204">
        <v>131250</v>
      </c>
      <c r="Q10" s="111">
        <f>P10*N10</f>
        <v>2231250</v>
      </c>
    </row>
    <row r="11" spans="1:17" s="109" customFormat="1" ht="15" customHeight="1">
      <c r="A11" s="248"/>
      <c r="B11" s="115" t="s">
        <v>25</v>
      </c>
      <c r="C11" s="115"/>
      <c r="D11" s="115"/>
      <c r="E11" s="209"/>
      <c r="F11" s="116"/>
      <c r="G11" s="115"/>
      <c r="H11" s="111">
        <f>144155+2035</f>
        <v>146190</v>
      </c>
      <c r="I11" s="109">
        <v>130426</v>
      </c>
      <c r="K11" s="45" t="s">
        <v>121</v>
      </c>
      <c r="L11" s="124">
        <f t="shared" si="2"/>
        <v>4.4052863436123352E-3</v>
      </c>
      <c r="M11" s="141">
        <v>227</v>
      </c>
      <c r="N11" s="140">
        <v>1</v>
      </c>
      <c r="O11" s="45" t="s">
        <v>3</v>
      </c>
      <c r="P11" s="110">
        <v>141750</v>
      </c>
      <c r="Q11" s="111">
        <f t="shared" ref="Q11" si="3">N11*P11</f>
        <v>141750</v>
      </c>
    </row>
    <row r="12" spans="1:17" s="128" customFormat="1" ht="18.600000000000001" customHeight="1">
      <c r="A12" s="129"/>
      <c r="B12" s="130"/>
      <c r="C12" s="131"/>
      <c r="D12" s="131"/>
      <c r="E12" s="210"/>
      <c r="F12" s="132"/>
      <c r="G12" s="130"/>
      <c r="H12" s="133">
        <f>SUM(H4:H11)</f>
        <v>3876000</v>
      </c>
      <c r="I12" s="151">
        <f>H12-I9</f>
        <v>0</v>
      </c>
      <c r="K12" s="45" t="s">
        <v>6</v>
      </c>
      <c r="L12" s="125">
        <f t="shared" si="2"/>
        <v>0.5506607929515418</v>
      </c>
      <c r="M12" s="141">
        <v>227</v>
      </c>
      <c r="N12" s="206" t="s">
        <v>187</v>
      </c>
      <c r="O12" s="45" t="s">
        <v>175</v>
      </c>
      <c r="P12" s="110">
        <v>3510</v>
      </c>
      <c r="Q12" s="111">
        <f>N12*P12</f>
        <v>438750</v>
      </c>
    </row>
    <row r="13" spans="1:17" s="109" customFormat="1" ht="15" customHeight="1">
      <c r="A13" s="112"/>
      <c r="B13" s="94" t="s">
        <v>10</v>
      </c>
      <c r="C13" s="96">
        <f>E13/D13</f>
        <v>0.12168141592920353</v>
      </c>
      <c r="D13" s="163">
        <v>226</v>
      </c>
      <c r="E13" s="154" t="s">
        <v>123</v>
      </c>
      <c r="F13" s="105" t="s">
        <v>1</v>
      </c>
      <c r="G13" s="123">
        <v>21000</v>
      </c>
      <c r="H13" s="207">
        <f>E13*G13</f>
        <v>577500</v>
      </c>
      <c r="I13" s="109">
        <f>4205303-3893000</f>
        <v>312303</v>
      </c>
      <c r="K13" s="45" t="s">
        <v>184</v>
      </c>
      <c r="L13" s="125"/>
      <c r="M13" s="45"/>
      <c r="N13" s="206" t="s">
        <v>129</v>
      </c>
      <c r="O13" s="45" t="s">
        <v>128</v>
      </c>
      <c r="P13" s="110">
        <v>75600</v>
      </c>
      <c r="Q13" s="111">
        <f>N13*P13</f>
        <v>151200</v>
      </c>
    </row>
    <row r="14" spans="1:17" s="109" customFormat="1" ht="15" customHeight="1">
      <c r="A14" s="247" t="s">
        <v>200</v>
      </c>
      <c r="B14" s="208" t="s">
        <v>115</v>
      </c>
      <c r="C14" s="97">
        <f>E14/D14</f>
        <v>0.10265486725663717</v>
      </c>
      <c r="D14" s="18">
        <v>226</v>
      </c>
      <c r="E14" s="49">
        <v>23.2</v>
      </c>
      <c r="F14" s="18" t="s">
        <v>1</v>
      </c>
      <c r="G14" s="19">
        <v>87150</v>
      </c>
      <c r="H14" s="207">
        <f>E14*G14</f>
        <v>2021880</v>
      </c>
      <c r="K14" s="45" t="s">
        <v>130</v>
      </c>
      <c r="L14" s="125"/>
      <c r="M14" s="45"/>
      <c r="N14" s="206" t="s">
        <v>129</v>
      </c>
      <c r="O14" s="45" t="s">
        <v>3</v>
      </c>
      <c r="P14" s="110">
        <v>44280</v>
      </c>
      <c r="Q14" s="111">
        <f>N14*P14</f>
        <v>88560</v>
      </c>
    </row>
    <row r="15" spans="1:17" s="109" customFormat="1" ht="19.2" customHeight="1">
      <c r="A15" s="247"/>
      <c r="B15" s="45" t="s">
        <v>44</v>
      </c>
      <c r="C15" s="45">
        <f t="shared" ref="C15:C16" si="4">E15/D15</f>
        <v>4.8230088495575224E-2</v>
      </c>
      <c r="D15" s="45">
        <v>226</v>
      </c>
      <c r="E15" s="206" t="s">
        <v>209</v>
      </c>
      <c r="F15" s="45" t="s">
        <v>1</v>
      </c>
      <c r="G15" s="110">
        <v>67200</v>
      </c>
      <c r="H15" s="207">
        <f t="shared" ref="H15:H21" si="5">E15*G15</f>
        <v>732480</v>
      </c>
      <c r="I15" s="114">
        <f>230*17000</f>
        <v>3910000</v>
      </c>
      <c r="K15" s="45" t="s">
        <v>186</v>
      </c>
      <c r="L15" s="125"/>
      <c r="M15" s="45"/>
      <c r="N15" s="206" t="s">
        <v>132</v>
      </c>
      <c r="O15" s="45" t="s">
        <v>3</v>
      </c>
      <c r="P15" s="110">
        <v>24150</v>
      </c>
      <c r="Q15" s="111">
        <f>N15*P15</f>
        <v>123164.99999999999</v>
      </c>
    </row>
    <row r="16" spans="1:17" s="109" customFormat="1" ht="15" customHeight="1">
      <c r="A16" s="247"/>
      <c r="B16" s="45" t="s">
        <v>121</v>
      </c>
      <c r="C16" s="124">
        <f t="shared" si="4"/>
        <v>4.4247787610619468E-3</v>
      </c>
      <c r="D16" s="141">
        <v>226</v>
      </c>
      <c r="E16" s="140">
        <v>1</v>
      </c>
      <c r="F16" s="45" t="s">
        <v>3</v>
      </c>
      <c r="G16" s="110">
        <v>141750</v>
      </c>
      <c r="H16" s="207">
        <f t="shared" si="5"/>
        <v>141750</v>
      </c>
      <c r="K16" s="45" t="s">
        <v>47</v>
      </c>
      <c r="L16" s="124"/>
      <c r="M16" s="45"/>
      <c r="N16" s="206" t="s">
        <v>52</v>
      </c>
      <c r="O16" s="45" t="s">
        <v>3</v>
      </c>
      <c r="P16" s="110">
        <v>36750</v>
      </c>
      <c r="Q16" s="111">
        <f t="shared" ref="Q16:Q17" si="6">N16*P16</f>
        <v>3675</v>
      </c>
    </row>
    <row r="17" spans="1:17" s="109" customFormat="1" ht="15" customHeight="1">
      <c r="A17" s="247"/>
      <c r="B17" s="163" t="s">
        <v>179</v>
      </c>
      <c r="C17" s="183"/>
      <c r="D17" s="163"/>
      <c r="E17" s="156" t="s">
        <v>181</v>
      </c>
      <c r="F17" s="163" t="s">
        <v>3</v>
      </c>
      <c r="G17" s="181">
        <v>25200</v>
      </c>
      <c r="H17" s="207">
        <f t="shared" si="5"/>
        <v>100800</v>
      </c>
      <c r="K17" s="45" t="s">
        <v>11</v>
      </c>
      <c r="L17" s="140"/>
      <c r="M17" s="45"/>
      <c r="N17" s="211">
        <v>0.1</v>
      </c>
      <c r="O17" s="45" t="s">
        <v>1</v>
      </c>
      <c r="P17" s="110">
        <v>57750</v>
      </c>
      <c r="Q17" s="111">
        <f t="shared" si="6"/>
        <v>5775</v>
      </c>
    </row>
    <row r="18" spans="1:17" s="109" customFormat="1" ht="15" customHeight="1">
      <c r="A18" s="247"/>
      <c r="B18" s="163" t="s">
        <v>180</v>
      </c>
      <c r="C18" s="183"/>
      <c r="D18" s="163"/>
      <c r="E18" s="156" t="s">
        <v>81</v>
      </c>
      <c r="F18" s="163" t="s">
        <v>1</v>
      </c>
      <c r="G18" s="181">
        <v>22050</v>
      </c>
      <c r="H18" s="207">
        <f t="shared" si="5"/>
        <v>110250</v>
      </c>
      <c r="K18" s="115" t="s">
        <v>25</v>
      </c>
      <c r="L18" s="115"/>
      <c r="M18" s="115"/>
      <c r="N18" s="209"/>
      <c r="O18" s="116"/>
      <c r="P18" s="115"/>
      <c r="Q18" s="119">
        <f>144155+20</f>
        <v>144175</v>
      </c>
    </row>
    <row r="19" spans="1:17" s="109" customFormat="1" ht="15" customHeight="1">
      <c r="A19" s="247"/>
      <c r="B19" s="163" t="s">
        <v>47</v>
      </c>
      <c r="C19" s="180"/>
      <c r="D19" s="163"/>
      <c r="E19" s="156" t="s">
        <v>52</v>
      </c>
      <c r="F19" s="163" t="s">
        <v>3</v>
      </c>
      <c r="G19" s="110">
        <v>36750</v>
      </c>
      <c r="H19" s="207">
        <f t="shared" si="5"/>
        <v>3675</v>
      </c>
    </row>
    <row r="20" spans="1:17" s="109" customFormat="1" ht="15" customHeight="1">
      <c r="A20" s="247"/>
      <c r="B20" s="163" t="s">
        <v>204</v>
      </c>
      <c r="C20" s="180"/>
      <c r="D20" s="163"/>
      <c r="E20" s="156" t="s">
        <v>52</v>
      </c>
      <c r="F20" s="163" t="s">
        <v>3</v>
      </c>
      <c r="G20" s="110">
        <v>47250</v>
      </c>
      <c r="H20" s="207">
        <f t="shared" ref="H20" si="7">E20*G20</f>
        <v>4725</v>
      </c>
    </row>
    <row r="21" spans="1:17" s="109" customFormat="1" ht="15" customHeight="1">
      <c r="A21" s="247"/>
      <c r="B21" s="163" t="s">
        <v>11</v>
      </c>
      <c r="C21" s="164"/>
      <c r="D21" s="163"/>
      <c r="E21" s="215">
        <v>0.1</v>
      </c>
      <c r="F21" s="163" t="s">
        <v>1</v>
      </c>
      <c r="G21" s="110">
        <v>57750</v>
      </c>
      <c r="H21" s="207">
        <f t="shared" si="5"/>
        <v>5775</v>
      </c>
    </row>
    <row r="22" spans="1:17" s="109" customFormat="1" ht="15" customHeight="1">
      <c r="A22" s="247"/>
      <c r="B22" s="184" t="s">
        <v>25</v>
      </c>
      <c r="C22" s="184"/>
      <c r="D22" s="184"/>
      <c r="E22" s="213"/>
      <c r="F22" s="186"/>
      <c r="G22" s="184"/>
      <c r="H22" s="207">
        <f>144155-1525+535</f>
        <v>143165</v>
      </c>
      <c r="I22" s="113">
        <f>D13*17000</f>
        <v>3842000</v>
      </c>
    </row>
    <row r="23" spans="1:17" s="134" customFormat="1" ht="20.399999999999999" customHeight="1">
      <c r="A23" s="225"/>
      <c r="B23" s="98"/>
      <c r="C23" s="98"/>
      <c r="D23" s="98"/>
      <c r="E23" s="226"/>
      <c r="F23" s="99"/>
      <c r="G23" s="98"/>
      <c r="H23" s="227">
        <f>SUM(H13:H22)</f>
        <v>3842000</v>
      </c>
      <c r="I23" s="151">
        <f>I22-H23</f>
        <v>0</v>
      </c>
    </row>
    <row r="24" spans="1:17" s="120" customFormat="1" ht="20.399999999999999" customHeight="1">
      <c r="A24" s="250" t="s">
        <v>201</v>
      </c>
      <c r="B24" s="161" t="s">
        <v>20</v>
      </c>
      <c r="C24" s="147">
        <f>E24/D24</f>
        <v>0.12202643171806167</v>
      </c>
      <c r="D24" s="45">
        <v>227</v>
      </c>
      <c r="E24" s="203" t="s">
        <v>114</v>
      </c>
      <c r="F24" s="137" t="s">
        <v>1</v>
      </c>
      <c r="G24" s="204">
        <v>21000</v>
      </c>
      <c r="H24" s="138">
        <f>E24*G24</f>
        <v>581700</v>
      </c>
      <c r="I24" s="165"/>
    </row>
    <row r="25" spans="1:17" s="120" customFormat="1" ht="20.399999999999999" customHeight="1">
      <c r="A25" s="251"/>
      <c r="B25" s="137" t="s">
        <v>125</v>
      </c>
      <c r="C25" s="124">
        <f t="shared" ref="C25:C27" si="8">E25/D25</f>
        <v>7.0484581497797363E-2</v>
      </c>
      <c r="D25" s="45">
        <v>227</v>
      </c>
      <c r="E25" s="203" t="s">
        <v>101</v>
      </c>
      <c r="F25" s="45" t="s">
        <v>1</v>
      </c>
      <c r="G25" s="204">
        <v>131250</v>
      </c>
      <c r="H25" s="111">
        <f>G25*E25</f>
        <v>2100000</v>
      </c>
      <c r="I25" s="165"/>
    </row>
    <row r="26" spans="1:17" s="120" customFormat="1" ht="20.399999999999999" customHeight="1">
      <c r="A26" s="251"/>
      <c r="B26" s="45" t="s">
        <v>121</v>
      </c>
      <c r="C26" s="124">
        <f t="shared" si="8"/>
        <v>4.4052863436123352E-3</v>
      </c>
      <c r="D26" s="141">
        <v>227</v>
      </c>
      <c r="E26" s="140">
        <v>1</v>
      </c>
      <c r="F26" s="45" t="s">
        <v>3</v>
      </c>
      <c r="G26" s="110">
        <v>141750</v>
      </c>
      <c r="H26" s="111">
        <f t="shared" ref="H26" si="9">E26*G26</f>
        <v>141750</v>
      </c>
      <c r="I26" s="165"/>
    </row>
    <row r="27" spans="1:17" s="120" customFormat="1" ht="20.399999999999999" customHeight="1">
      <c r="A27" s="251"/>
      <c r="B27" s="45" t="s">
        <v>6</v>
      </c>
      <c r="C27" s="125">
        <f t="shared" si="8"/>
        <v>0.55947136563876654</v>
      </c>
      <c r="D27" s="141">
        <v>227</v>
      </c>
      <c r="E27" s="206" t="s">
        <v>205</v>
      </c>
      <c r="F27" s="45" t="s">
        <v>175</v>
      </c>
      <c r="G27" s="110">
        <v>3510</v>
      </c>
      <c r="H27" s="111">
        <f>E27*G27</f>
        <v>445770</v>
      </c>
      <c r="I27" s="165">
        <f>228*17000</f>
        <v>3876000</v>
      </c>
    </row>
    <row r="28" spans="1:17" s="120" customFormat="1" ht="20.399999999999999" customHeight="1">
      <c r="A28" s="251"/>
      <c r="B28" s="45" t="s">
        <v>184</v>
      </c>
      <c r="C28" s="125"/>
      <c r="D28" s="45"/>
      <c r="E28" s="206" t="s">
        <v>54</v>
      </c>
      <c r="F28" s="45" t="s">
        <v>128</v>
      </c>
      <c r="G28" s="110">
        <v>75600</v>
      </c>
      <c r="H28" s="111">
        <f>E28*G28</f>
        <v>226800</v>
      </c>
      <c r="I28" s="165"/>
    </row>
    <row r="29" spans="1:17" s="120" customFormat="1" ht="20.399999999999999" customHeight="1">
      <c r="A29" s="251"/>
      <c r="B29" s="45" t="s">
        <v>130</v>
      </c>
      <c r="C29" s="125"/>
      <c r="D29" s="45"/>
      <c r="E29" s="206" t="s">
        <v>129</v>
      </c>
      <c r="F29" s="45" t="s">
        <v>3</v>
      </c>
      <c r="G29" s="110">
        <v>44280</v>
      </c>
      <c r="H29" s="111">
        <f>E29*G29</f>
        <v>88560</v>
      </c>
      <c r="I29" s="165"/>
    </row>
    <row r="30" spans="1:17" s="120" customFormat="1" ht="20.399999999999999" customHeight="1">
      <c r="A30" s="251"/>
      <c r="B30" s="45" t="s">
        <v>186</v>
      </c>
      <c r="C30" s="125"/>
      <c r="D30" s="45"/>
      <c r="E30" s="206" t="s">
        <v>81</v>
      </c>
      <c r="F30" s="45" t="s">
        <v>3</v>
      </c>
      <c r="G30" s="110">
        <v>24150</v>
      </c>
      <c r="H30" s="111">
        <f>E30*G30</f>
        <v>120750</v>
      </c>
      <c r="I30" s="165">
        <f>H33-I27</f>
        <v>-3731780</v>
      </c>
    </row>
    <row r="31" spans="1:17" s="120" customFormat="1" ht="20.399999999999999" customHeight="1">
      <c r="A31" s="251"/>
      <c r="B31" s="45" t="s">
        <v>47</v>
      </c>
      <c r="C31" s="124"/>
      <c r="D31" s="45"/>
      <c r="E31" s="206" t="s">
        <v>52</v>
      </c>
      <c r="F31" s="45" t="s">
        <v>3</v>
      </c>
      <c r="G31" s="110">
        <v>36750</v>
      </c>
      <c r="H31" s="111">
        <f t="shared" ref="H31:H32" si="10">E31*G31</f>
        <v>3675</v>
      </c>
      <c r="I31" s="165"/>
    </row>
    <row r="32" spans="1:17" s="120" customFormat="1" ht="20.399999999999999" customHeight="1">
      <c r="A32" s="252"/>
      <c r="B32" s="45" t="s">
        <v>11</v>
      </c>
      <c r="C32" s="140"/>
      <c r="D32" s="45"/>
      <c r="E32" s="211">
        <v>0.1</v>
      </c>
      <c r="F32" s="45" t="s">
        <v>1</v>
      </c>
      <c r="G32" s="110">
        <v>57750</v>
      </c>
      <c r="H32" s="111">
        <f t="shared" si="10"/>
        <v>5775</v>
      </c>
      <c r="I32" s="165"/>
    </row>
    <row r="33" spans="1:9" s="120" customFormat="1" ht="20.399999999999999" customHeight="1">
      <c r="A33" s="166"/>
      <c r="B33" s="115" t="s">
        <v>25</v>
      </c>
      <c r="C33" s="115"/>
      <c r="D33" s="115"/>
      <c r="E33" s="209"/>
      <c r="F33" s="116"/>
      <c r="G33" s="115"/>
      <c r="H33" s="119">
        <f>144155+65</f>
        <v>144220</v>
      </c>
      <c r="I33" s="165">
        <f>D24*17000</f>
        <v>3859000</v>
      </c>
    </row>
    <row r="34" spans="1:9" s="134" customFormat="1" ht="20.399999999999999" customHeight="1">
      <c r="A34" s="225"/>
      <c r="B34" s="220"/>
      <c r="C34" s="220"/>
      <c r="D34" s="221"/>
      <c r="E34" s="222"/>
      <c r="F34" s="223"/>
      <c r="G34" s="220"/>
      <c r="H34" s="224">
        <f>SUM(H24:H33)</f>
        <v>3859000</v>
      </c>
      <c r="I34" s="151">
        <f>H34-I33</f>
        <v>0</v>
      </c>
    </row>
    <row r="35" spans="1:9" s="120" customFormat="1" ht="20.399999999999999" customHeight="1">
      <c r="A35" s="249"/>
      <c r="B35" s="103" t="s">
        <v>10</v>
      </c>
      <c r="C35" s="228">
        <f>E35/D35</f>
        <v>0.12168141592920353</v>
      </c>
      <c r="D35" s="45">
        <v>226</v>
      </c>
      <c r="E35" s="152">
        <v>27.5</v>
      </c>
      <c r="F35" s="162" t="s">
        <v>1</v>
      </c>
      <c r="G35" s="106">
        <v>21000</v>
      </c>
      <c r="H35" s="229">
        <f>E35*G35</f>
        <v>577500</v>
      </c>
      <c r="I35" s="165"/>
    </row>
    <row r="36" spans="1:9" s="120" customFormat="1" ht="20.399999999999999" customHeight="1">
      <c r="A36" s="249"/>
      <c r="B36" s="163" t="s">
        <v>48</v>
      </c>
      <c r="C36" s="163">
        <f>E36/D36</f>
        <v>5.6194690265486721E-2</v>
      </c>
      <c r="D36" s="45">
        <v>226</v>
      </c>
      <c r="E36" s="164">
        <v>12.7</v>
      </c>
      <c r="F36" s="163" t="s">
        <v>1</v>
      </c>
      <c r="G36" s="181">
        <v>169560</v>
      </c>
      <c r="H36" s="182">
        <f>E36*G36</f>
        <v>2153412</v>
      </c>
      <c r="I36" s="165"/>
    </row>
    <row r="37" spans="1:9" s="120" customFormat="1" ht="20.399999999999999" customHeight="1">
      <c r="A37" s="249"/>
      <c r="B37" s="163" t="s">
        <v>49</v>
      </c>
      <c r="C37" s="163">
        <f t="shared" ref="C37:C39" si="11">E37/D37</f>
        <v>0.55309734513274333</v>
      </c>
      <c r="D37" s="141">
        <v>226</v>
      </c>
      <c r="E37" s="164">
        <v>125</v>
      </c>
      <c r="F37" s="163" t="s">
        <v>1</v>
      </c>
      <c r="G37" s="181">
        <v>3456</v>
      </c>
      <c r="H37" s="182">
        <f t="shared" ref="H37:H43" si="12">E37*G37</f>
        <v>432000</v>
      </c>
      <c r="I37" s="165"/>
    </row>
    <row r="38" spans="1:9" s="120" customFormat="1" ht="20.399999999999999" customHeight="1">
      <c r="A38" s="243" t="s">
        <v>202</v>
      </c>
      <c r="B38" s="163" t="s">
        <v>50</v>
      </c>
      <c r="C38" s="163">
        <f t="shared" si="11"/>
        <v>2.2123893805309734E-2</v>
      </c>
      <c r="D38" s="141">
        <v>226</v>
      </c>
      <c r="E38" s="164">
        <v>5</v>
      </c>
      <c r="F38" s="163" t="s">
        <v>1</v>
      </c>
      <c r="G38" s="181">
        <v>25200</v>
      </c>
      <c r="H38" s="182">
        <f t="shared" si="12"/>
        <v>126000</v>
      </c>
      <c r="I38" s="165" t="s">
        <v>208</v>
      </c>
    </row>
    <row r="39" spans="1:9" s="120" customFormat="1" ht="20.399999999999999" customHeight="1">
      <c r="A39" s="243"/>
      <c r="B39" s="163" t="s">
        <v>86</v>
      </c>
      <c r="C39" s="180">
        <f t="shared" si="11"/>
        <v>1.3274336283185841E-2</v>
      </c>
      <c r="D39" s="141">
        <v>226</v>
      </c>
      <c r="E39" s="164">
        <v>3</v>
      </c>
      <c r="F39" s="163" t="s">
        <v>3</v>
      </c>
      <c r="G39" s="181">
        <v>78750</v>
      </c>
      <c r="H39" s="182">
        <f t="shared" si="12"/>
        <v>236250</v>
      </c>
      <c r="I39" s="165"/>
    </row>
    <row r="40" spans="1:9" s="120" customFormat="1" ht="20.399999999999999" customHeight="1">
      <c r="A40" s="243"/>
      <c r="B40" s="163" t="s">
        <v>63</v>
      </c>
      <c r="C40" s="164"/>
      <c r="D40" s="163"/>
      <c r="E40" s="164">
        <v>0.1</v>
      </c>
      <c r="F40" s="163" t="s">
        <v>3</v>
      </c>
      <c r="G40" s="181">
        <v>36750</v>
      </c>
      <c r="H40" s="182">
        <f t="shared" si="12"/>
        <v>3675</v>
      </c>
      <c r="I40" s="165"/>
    </row>
    <row r="41" spans="1:9" s="120" customFormat="1" ht="20.399999999999999" customHeight="1">
      <c r="A41" s="243"/>
      <c r="B41" s="230" t="s">
        <v>206</v>
      </c>
      <c r="C41" s="164"/>
      <c r="D41" s="231"/>
      <c r="E41" s="232">
        <v>8.4</v>
      </c>
      <c r="F41" s="163" t="s">
        <v>1</v>
      </c>
      <c r="G41" s="181">
        <v>18900</v>
      </c>
      <c r="H41" s="182">
        <f t="shared" si="12"/>
        <v>158760</v>
      </c>
      <c r="I41" s="165"/>
    </row>
    <row r="42" spans="1:9" s="120" customFormat="1" ht="20.399999999999999" customHeight="1">
      <c r="A42" s="188"/>
      <c r="B42" s="230" t="s">
        <v>207</v>
      </c>
      <c r="C42" s="164"/>
      <c r="D42" s="231"/>
      <c r="E42" s="232">
        <v>0.1</v>
      </c>
      <c r="F42" s="163" t="s">
        <v>3</v>
      </c>
      <c r="G42" s="181">
        <v>42000</v>
      </c>
      <c r="H42" s="182">
        <f t="shared" si="12"/>
        <v>4200</v>
      </c>
      <c r="I42" s="165"/>
    </row>
    <row r="43" spans="1:9" s="120" customFormat="1" ht="20.399999999999999" customHeight="1">
      <c r="A43" s="219"/>
      <c r="B43" s="163" t="s">
        <v>11</v>
      </c>
      <c r="C43" s="163"/>
      <c r="D43" s="163"/>
      <c r="E43" s="164">
        <v>0.1</v>
      </c>
      <c r="F43" s="163" t="s">
        <v>1</v>
      </c>
      <c r="G43" s="181">
        <v>57750</v>
      </c>
      <c r="H43" s="182">
        <f t="shared" si="12"/>
        <v>5775</v>
      </c>
      <c r="I43" s="165"/>
    </row>
    <row r="44" spans="1:9" s="120" customFormat="1" ht="20.399999999999999" customHeight="1">
      <c r="A44" s="219"/>
      <c r="B44" s="184" t="s">
        <v>25</v>
      </c>
      <c r="C44" s="184"/>
      <c r="D44" s="184"/>
      <c r="E44" s="185"/>
      <c r="F44" s="186"/>
      <c r="G44" s="184"/>
      <c r="H44" s="187">
        <f>144155+491+218</f>
        <v>144864</v>
      </c>
      <c r="I44" s="165">
        <f>D35*17000</f>
        <v>3842000</v>
      </c>
    </row>
    <row r="45" spans="1:9" s="134" customFormat="1" ht="20.399999999999999" customHeight="1">
      <c r="A45" s="225"/>
      <c r="B45" s="237"/>
      <c r="C45" s="238"/>
      <c r="D45" s="239"/>
      <c r="E45" s="240"/>
      <c r="F45" s="237"/>
      <c r="G45" s="241"/>
      <c r="H45" s="242">
        <f>SUM(H35:H44)</f>
        <v>3842436</v>
      </c>
      <c r="I45" s="151">
        <f>H45-I44</f>
        <v>436</v>
      </c>
    </row>
    <row r="46" spans="1:9" s="120" customFormat="1" ht="15" customHeight="1">
      <c r="A46" s="243" t="s">
        <v>203</v>
      </c>
      <c r="B46" s="162" t="s">
        <v>20</v>
      </c>
      <c r="C46" s="233">
        <f>E46/D46</f>
        <v>0.12168141592920353</v>
      </c>
      <c r="D46" s="45">
        <v>226</v>
      </c>
      <c r="E46" s="154" t="s">
        <v>123</v>
      </c>
      <c r="F46" s="162" t="s">
        <v>1</v>
      </c>
      <c r="G46" s="234">
        <v>21000</v>
      </c>
      <c r="H46" s="229">
        <f>E46*G46</f>
        <v>577500</v>
      </c>
      <c r="I46" s="189"/>
    </row>
    <row r="47" spans="1:9" s="120" customFormat="1" ht="24.6" customHeight="1">
      <c r="A47" s="243"/>
      <c r="B47" s="163" t="s">
        <v>91</v>
      </c>
      <c r="C47" s="180">
        <f t="shared" ref="C47:C51" si="13">E47/D47</f>
        <v>6.2831858407079638E-2</v>
      </c>
      <c r="D47" s="45">
        <v>226</v>
      </c>
      <c r="E47" s="164">
        <v>14.2</v>
      </c>
      <c r="F47" s="163" t="s">
        <v>1</v>
      </c>
      <c r="G47" s="181">
        <v>140700</v>
      </c>
      <c r="H47" s="182">
        <f>E47*G47-1892</f>
        <v>1996048</v>
      </c>
    </row>
    <row r="48" spans="1:9" s="120" customFormat="1" ht="15" customHeight="1">
      <c r="A48" s="243"/>
      <c r="B48" s="163" t="s">
        <v>164</v>
      </c>
      <c r="C48" s="183">
        <f t="shared" si="13"/>
        <v>3.5398230088495575E-2</v>
      </c>
      <c r="D48" s="141">
        <v>226</v>
      </c>
      <c r="E48" s="159" t="s">
        <v>22</v>
      </c>
      <c r="F48" s="163" t="s">
        <v>1</v>
      </c>
      <c r="G48" s="181">
        <v>81900</v>
      </c>
      <c r="H48" s="182">
        <f>E48*G48</f>
        <v>655200</v>
      </c>
    </row>
    <row r="49" spans="1:9" s="120" customFormat="1" ht="15" customHeight="1">
      <c r="A49" s="243"/>
      <c r="B49" s="163" t="s">
        <v>51</v>
      </c>
      <c r="C49" s="183">
        <f t="shared" si="13"/>
        <v>4.4247787610619468E-3</v>
      </c>
      <c r="D49" s="141">
        <v>226</v>
      </c>
      <c r="E49" s="156" t="s">
        <v>26</v>
      </c>
      <c r="F49" s="163" t="s">
        <v>1</v>
      </c>
      <c r="G49" s="181">
        <v>173250</v>
      </c>
      <c r="H49" s="182">
        <f t="shared" ref="H49:H54" si="14">E49*G49</f>
        <v>173250</v>
      </c>
    </row>
    <row r="50" spans="1:9" s="120" customFormat="1" ht="15" customHeight="1">
      <c r="A50" s="188"/>
      <c r="B50" s="45" t="s">
        <v>184</v>
      </c>
      <c r="C50" s="125">
        <f t="shared" si="13"/>
        <v>8.8495575221238937E-3</v>
      </c>
      <c r="D50" s="45">
        <v>226</v>
      </c>
      <c r="E50" s="206" t="s">
        <v>129</v>
      </c>
      <c r="F50" s="45" t="s">
        <v>128</v>
      </c>
      <c r="G50" s="110">
        <v>75600</v>
      </c>
      <c r="H50" s="111">
        <f>E50*G50</f>
        <v>151200</v>
      </c>
    </row>
    <row r="51" spans="1:9" s="120" customFormat="1" ht="15" customHeight="1">
      <c r="A51" s="188"/>
      <c r="B51" s="163" t="s">
        <v>165</v>
      </c>
      <c r="C51" s="183">
        <f t="shared" si="13"/>
        <v>1.3274336283185841E-2</v>
      </c>
      <c r="D51" s="141">
        <v>226</v>
      </c>
      <c r="E51" s="156" t="s">
        <v>54</v>
      </c>
      <c r="F51" s="163" t="s">
        <v>3</v>
      </c>
      <c r="G51" s="181">
        <v>23100</v>
      </c>
      <c r="H51" s="182">
        <f t="shared" si="14"/>
        <v>69300</v>
      </c>
    </row>
    <row r="52" spans="1:9" s="120" customFormat="1" ht="15" customHeight="1">
      <c r="A52" s="188"/>
      <c r="B52" s="163" t="s">
        <v>166</v>
      </c>
      <c r="C52" s="176"/>
      <c r="D52" s="235"/>
      <c r="E52" s="156" t="s">
        <v>129</v>
      </c>
      <c r="F52" s="163" t="s">
        <v>3</v>
      </c>
      <c r="G52" s="181">
        <v>31500</v>
      </c>
      <c r="H52" s="182">
        <f t="shared" si="14"/>
        <v>63000</v>
      </c>
    </row>
    <row r="53" spans="1:9" s="120" customFormat="1" ht="15" customHeight="1">
      <c r="A53" s="188"/>
      <c r="B53" s="163" t="s">
        <v>80</v>
      </c>
      <c r="C53" s="236"/>
      <c r="D53" s="163"/>
      <c r="E53" s="156" t="s">
        <v>52</v>
      </c>
      <c r="F53" s="163" t="s">
        <v>1</v>
      </c>
      <c r="G53" s="181">
        <v>60900</v>
      </c>
      <c r="H53" s="182">
        <f t="shared" si="14"/>
        <v>6090</v>
      </c>
    </row>
    <row r="54" spans="1:9" s="120" customFormat="1" ht="15" customHeight="1">
      <c r="A54" s="188"/>
      <c r="B54" s="163" t="s">
        <v>89</v>
      </c>
      <c r="C54" s="184"/>
      <c r="D54" s="163"/>
      <c r="E54" s="156" t="s">
        <v>52</v>
      </c>
      <c r="F54" s="163" t="s">
        <v>1</v>
      </c>
      <c r="G54" s="181">
        <v>42000</v>
      </c>
      <c r="H54" s="182">
        <f t="shared" si="14"/>
        <v>4200</v>
      </c>
    </row>
    <row r="55" spans="1:9" s="120" customFormat="1" ht="15" customHeight="1">
      <c r="A55" s="188"/>
      <c r="B55" s="184" t="s">
        <v>25</v>
      </c>
      <c r="C55" s="184"/>
      <c r="D55" s="184"/>
      <c r="E55" s="213"/>
      <c r="F55" s="186"/>
      <c r="G55" s="184"/>
      <c r="H55" s="187">
        <f>144155+787+1270</f>
        <v>146212</v>
      </c>
    </row>
    <row r="56" spans="1:9" s="134" customFormat="1" ht="19.8" customHeight="1">
      <c r="A56" s="168"/>
      <c r="B56" s="148"/>
      <c r="C56" s="148"/>
      <c r="D56" s="148"/>
      <c r="E56" s="157"/>
      <c r="F56" s="169"/>
      <c r="G56" s="148"/>
      <c r="H56" s="170">
        <f>SUM(H46:H55)</f>
        <v>3842000</v>
      </c>
      <c r="I56" s="151">
        <f>D47*17000</f>
        <v>3842000</v>
      </c>
    </row>
    <row r="57" spans="1:9">
      <c r="A57" s="100"/>
      <c r="B57" s="100"/>
      <c r="C57" s="100"/>
      <c r="D57" s="100"/>
      <c r="E57" s="216"/>
      <c r="I57" s="34">
        <f>H56-I56</f>
        <v>0</v>
      </c>
    </row>
    <row r="58" spans="1:9" ht="18">
      <c r="A58" s="244" t="s">
        <v>29</v>
      </c>
      <c r="B58" s="244"/>
      <c r="C58" s="244" t="s">
        <v>30</v>
      </c>
      <c r="D58" s="244"/>
      <c r="E58" s="244"/>
      <c r="F58" s="1"/>
      <c r="G58" s="244" t="s">
        <v>31</v>
      </c>
      <c r="H58" s="244"/>
    </row>
    <row r="59" spans="1:9" ht="18">
      <c r="A59" s="41"/>
      <c r="B59" s="41"/>
      <c r="C59" s="41"/>
      <c r="D59" s="41"/>
      <c r="E59" s="41"/>
      <c r="F59" s="1"/>
      <c r="G59" s="41"/>
      <c r="H59" s="41"/>
    </row>
    <row r="60" spans="1:9" ht="18">
      <c r="A60" s="41"/>
      <c r="B60" s="41"/>
      <c r="C60" s="41"/>
      <c r="D60" s="41"/>
      <c r="E60" s="41"/>
      <c r="F60" s="1"/>
      <c r="G60" s="41"/>
      <c r="H60" s="41"/>
    </row>
    <row r="61" spans="1:9" ht="18">
      <c r="A61" s="41"/>
      <c r="B61" s="41"/>
      <c r="C61" s="41"/>
      <c r="D61" s="41"/>
      <c r="E61" s="41"/>
      <c r="F61" s="1"/>
      <c r="G61" s="41"/>
      <c r="H61" s="41"/>
    </row>
    <row r="62" spans="1:9" ht="18">
      <c r="A62" s="41"/>
      <c r="B62" s="41"/>
      <c r="C62" s="41"/>
      <c r="D62" s="41"/>
      <c r="E62" s="41"/>
      <c r="F62" s="1"/>
      <c r="G62" s="41"/>
      <c r="H62" s="41"/>
    </row>
    <row r="63" spans="1:9" ht="18">
      <c r="A63" s="41"/>
      <c r="B63" s="41"/>
      <c r="C63" s="41"/>
      <c r="D63" s="41"/>
      <c r="E63" s="41"/>
      <c r="F63" s="1"/>
      <c r="G63" s="41"/>
      <c r="H63" s="41"/>
    </row>
    <row r="64" spans="1:9" ht="18">
      <c r="A64" s="41"/>
      <c r="B64" s="41"/>
      <c r="C64" s="41"/>
      <c r="D64" s="41"/>
      <c r="E64" s="41"/>
      <c r="F64" s="1"/>
      <c r="G64" s="41"/>
      <c r="H64" s="41"/>
    </row>
    <row r="65" spans="1:9" ht="15.6">
      <c r="A65" s="6" t="s">
        <v>0</v>
      </c>
      <c r="B65" s="6"/>
    </row>
    <row r="66" spans="1:9" s="102" customFormat="1" ht="16.8" customHeight="1">
      <c r="A66" s="244" t="s">
        <v>171</v>
      </c>
      <c r="B66" s="244"/>
      <c r="C66" s="244"/>
      <c r="D66" s="244"/>
      <c r="E66" s="244"/>
      <c r="F66" s="244"/>
      <c r="G66" s="244"/>
      <c r="H66" s="244"/>
      <c r="I66" s="149">
        <f>1996200/15</f>
        <v>133080</v>
      </c>
    </row>
    <row r="67" spans="1:9" s="102" customFormat="1" ht="16.2" customHeight="1">
      <c r="A67" s="101"/>
      <c r="B67" s="245" t="s">
        <v>182</v>
      </c>
      <c r="C67" s="245"/>
      <c r="D67" s="245"/>
      <c r="E67" s="245"/>
      <c r="F67" s="245"/>
      <c r="G67" s="245"/>
      <c r="H67" s="245"/>
    </row>
    <row r="68" spans="1:9" s="109" customFormat="1" ht="15" customHeight="1">
      <c r="A68" s="246" t="s">
        <v>185</v>
      </c>
      <c r="B68" s="161" t="s">
        <v>10</v>
      </c>
      <c r="C68" s="104">
        <f>E68/D68</f>
        <v>0.12043478260869565</v>
      </c>
      <c r="D68" s="45">
        <v>230</v>
      </c>
      <c r="E68" s="135">
        <v>27.7</v>
      </c>
      <c r="F68" s="105" t="s">
        <v>1</v>
      </c>
      <c r="G68" s="205">
        <v>21000</v>
      </c>
      <c r="H68" s="107">
        <f>E68*G68</f>
        <v>581700</v>
      </c>
      <c r="I68" s="150" t="e">
        <f>#REF!-#REF!</f>
        <v>#REF!</v>
      </c>
    </row>
    <row r="69" spans="1:9" s="109" customFormat="1" ht="15" customHeight="1">
      <c r="A69" s="247"/>
      <c r="B69" s="45" t="s">
        <v>5</v>
      </c>
      <c r="C69" s="45">
        <f>E69/D69</f>
        <v>7.0434782608695651E-2</v>
      </c>
      <c r="D69" s="45">
        <v>230</v>
      </c>
      <c r="E69" s="140">
        <v>16.2</v>
      </c>
      <c r="F69" s="45" t="s">
        <v>1</v>
      </c>
      <c r="G69" s="110">
        <v>141750</v>
      </c>
      <c r="H69" s="111">
        <f>E69*G69</f>
        <v>2296350</v>
      </c>
      <c r="I69" s="113">
        <f>230*17000</f>
        <v>3910000</v>
      </c>
    </row>
    <row r="70" spans="1:9" s="109" customFormat="1" ht="15" customHeight="1">
      <c r="A70" s="247"/>
      <c r="B70" s="45" t="s">
        <v>42</v>
      </c>
      <c r="C70" s="45">
        <f t="shared" ref="C70:C71" si="15">E70/D70</f>
        <v>3.0434782608695652E-3</v>
      </c>
      <c r="D70" s="45">
        <v>230</v>
      </c>
      <c r="E70" s="206" t="s">
        <v>43</v>
      </c>
      <c r="F70" s="45" t="s">
        <v>1</v>
      </c>
      <c r="G70" s="110">
        <v>304500</v>
      </c>
      <c r="H70" s="111">
        <f t="shared" ref="H70:H74" si="16">E70*G70</f>
        <v>213150</v>
      </c>
    </row>
    <row r="71" spans="1:9" s="109" customFormat="1" ht="15" customHeight="1">
      <c r="A71" s="247"/>
      <c r="B71" s="45" t="s">
        <v>44</v>
      </c>
      <c r="C71" s="45">
        <f t="shared" si="15"/>
        <v>3.2173913043478261E-2</v>
      </c>
      <c r="D71" s="45">
        <v>230</v>
      </c>
      <c r="E71" s="206" t="s">
        <v>118</v>
      </c>
      <c r="F71" s="45" t="s">
        <v>1</v>
      </c>
      <c r="G71" s="110">
        <v>67200</v>
      </c>
      <c r="H71" s="111">
        <f t="shared" si="16"/>
        <v>497280</v>
      </c>
      <c r="I71" s="121">
        <f>I69-H76</f>
        <v>0</v>
      </c>
    </row>
    <row r="72" spans="1:9" s="109" customFormat="1" ht="15" customHeight="1">
      <c r="A72" s="247"/>
      <c r="B72" s="45" t="s">
        <v>63</v>
      </c>
      <c r="C72" s="140"/>
      <c r="D72" s="45"/>
      <c r="E72" s="140">
        <v>0.1</v>
      </c>
      <c r="F72" s="45" t="s">
        <v>3</v>
      </c>
      <c r="G72" s="110">
        <v>36750</v>
      </c>
      <c r="H72" s="111">
        <f t="shared" si="16"/>
        <v>3675</v>
      </c>
    </row>
    <row r="73" spans="1:9" s="109" customFormat="1" ht="15" customHeight="1">
      <c r="A73" s="247"/>
      <c r="B73" s="45" t="s">
        <v>131</v>
      </c>
      <c r="C73" s="125"/>
      <c r="D73" s="45"/>
      <c r="E73" s="206" t="s">
        <v>135</v>
      </c>
      <c r="F73" s="45" t="s">
        <v>1</v>
      </c>
      <c r="G73" s="110">
        <v>31500</v>
      </c>
      <c r="H73" s="111">
        <f t="shared" si="16"/>
        <v>166950</v>
      </c>
    </row>
    <row r="74" spans="1:9" s="109" customFormat="1" ht="15" customHeight="1">
      <c r="A74" s="247"/>
      <c r="B74" s="45" t="s">
        <v>11</v>
      </c>
      <c r="C74" s="45"/>
      <c r="D74" s="45"/>
      <c r="E74" s="140">
        <v>0.1</v>
      </c>
      <c r="F74" s="45" t="s">
        <v>1</v>
      </c>
      <c r="G74" s="110">
        <v>57750</v>
      </c>
      <c r="H74" s="111">
        <f t="shared" si="16"/>
        <v>5775</v>
      </c>
    </row>
    <row r="75" spans="1:9" s="109" customFormat="1" ht="15" customHeight="1">
      <c r="A75" s="248"/>
      <c r="B75" s="115" t="s">
        <v>25</v>
      </c>
      <c r="C75" s="115"/>
      <c r="D75" s="115"/>
      <c r="E75" s="209"/>
      <c r="F75" s="116"/>
      <c r="G75" s="115"/>
      <c r="H75" s="111">
        <f>144155+965</f>
        <v>145120</v>
      </c>
      <c r="I75" s="109">
        <v>130426</v>
      </c>
    </row>
    <row r="76" spans="1:9" s="128" customFormat="1" ht="18.600000000000001" customHeight="1">
      <c r="A76" s="129"/>
      <c r="B76" s="130"/>
      <c r="C76" s="131"/>
      <c r="D76" s="131"/>
      <c r="E76" s="210"/>
      <c r="F76" s="132"/>
      <c r="G76" s="130"/>
      <c r="H76" s="133">
        <f>SUM(H68:H75)</f>
        <v>3910000</v>
      </c>
      <c r="I76" s="151">
        <f>H76-I69</f>
        <v>0</v>
      </c>
    </row>
    <row r="77" spans="1:9" s="109" customFormat="1" ht="15" customHeight="1">
      <c r="A77" s="112"/>
      <c r="B77" s="161" t="s">
        <v>20</v>
      </c>
      <c r="C77" s="147">
        <f>E77/D77</f>
        <v>0.12043478260869565</v>
      </c>
      <c r="D77" s="45">
        <v>230</v>
      </c>
      <c r="E77" s="203" t="s">
        <v>114</v>
      </c>
      <c r="F77" s="137" t="s">
        <v>1</v>
      </c>
      <c r="G77" s="204">
        <v>21000</v>
      </c>
      <c r="H77" s="138">
        <f>E77*G77</f>
        <v>581700</v>
      </c>
      <c r="I77" s="109">
        <f>4205303-3893000</f>
        <v>312303</v>
      </c>
    </row>
    <row r="78" spans="1:9" s="109" customFormat="1" ht="15" customHeight="1">
      <c r="A78" s="247" t="s">
        <v>183</v>
      </c>
      <c r="B78" s="137" t="s">
        <v>125</v>
      </c>
      <c r="C78" s="124">
        <f t="shared" ref="C78:C80" si="17">E78/D78</f>
        <v>7.3913043478260873E-2</v>
      </c>
      <c r="D78" s="45">
        <v>230</v>
      </c>
      <c r="E78" s="203" t="s">
        <v>188</v>
      </c>
      <c r="F78" s="45" t="s">
        <v>1</v>
      </c>
      <c r="G78" s="204">
        <v>131250</v>
      </c>
      <c r="H78" s="111">
        <f>G78*E78</f>
        <v>2231250</v>
      </c>
    </row>
    <row r="79" spans="1:9" s="109" customFormat="1" ht="19.2" customHeight="1">
      <c r="A79" s="247"/>
      <c r="B79" s="45" t="s">
        <v>121</v>
      </c>
      <c r="C79" s="124">
        <f t="shared" si="17"/>
        <v>4.3478260869565218E-3</v>
      </c>
      <c r="D79" s="141">
        <v>230</v>
      </c>
      <c r="E79" s="140">
        <v>1</v>
      </c>
      <c r="F79" s="45" t="s">
        <v>3</v>
      </c>
      <c r="G79" s="110">
        <v>141750</v>
      </c>
      <c r="H79" s="111">
        <f t="shared" ref="H79" si="18">E79*G79</f>
        <v>141750</v>
      </c>
      <c r="I79" s="114">
        <f>230*17000</f>
        <v>3910000</v>
      </c>
    </row>
    <row r="80" spans="1:9" s="109" customFormat="1" ht="15" customHeight="1">
      <c r="A80" s="247"/>
      <c r="B80" s="45" t="s">
        <v>6</v>
      </c>
      <c r="C80" s="125">
        <f t="shared" si="17"/>
        <v>0.54347826086956519</v>
      </c>
      <c r="D80" s="141">
        <v>230</v>
      </c>
      <c r="E80" s="206" t="s">
        <v>187</v>
      </c>
      <c r="F80" s="45" t="s">
        <v>175</v>
      </c>
      <c r="G80" s="110">
        <v>3510</v>
      </c>
      <c r="H80" s="111">
        <f>E80*G80</f>
        <v>438750</v>
      </c>
    </row>
    <row r="81" spans="1:9" s="109" customFormat="1" ht="15" customHeight="1">
      <c r="A81" s="247"/>
      <c r="B81" s="45" t="s">
        <v>184</v>
      </c>
      <c r="C81" s="125"/>
      <c r="D81" s="45"/>
      <c r="E81" s="206" t="s">
        <v>129</v>
      </c>
      <c r="F81" s="45" t="s">
        <v>128</v>
      </c>
      <c r="G81" s="110">
        <v>75600</v>
      </c>
      <c r="H81" s="111">
        <f>E81*G81</f>
        <v>151200</v>
      </c>
    </row>
    <row r="82" spans="1:9" s="109" customFormat="1" ht="15" customHeight="1">
      <c r="A82" s="247"/>
      <c r="B82" s="45" t="s">
        <v>130</v>
      </c>
      <c r="C82" s="125"/>
      <c r="D82" s="45"/>
      <c r="E82" s="206" t="s">
        <v>129</v>
      </c>
      <c r="F82" s="45" t="s">
        <v>3</v>
      </c>
      <c r="G82" s="110">
        <v>44280</v>
      </c>
      <c r="H82" s="111">
        <f>E82*G82</f>
        <v>88560</v>
      </c>
    </row>
    <row r="83" spans="1:9" s="109" customFormat="1" ht="15" customHeight="1">
      <c r="A83" s="247"/>
      <c r="B83" s="45" t="s">
        <v>186</v>
      </c>
      <c r="C83" s="125"/>
      <c r="D83" s="45"/>
      <c r="E83" s="206" t="s">
        <v>132</v>
      </c>
      <c r="F83" s="45" t="s">
        <v>3</v>
      </c>
      <c r="G83" s="110">
        <v>24150</v>
      </c>
      <c r="H83" s="111">
        <f>E83*G83</f>
        <v>123164.99999999999</v>
      </c>
    </row>
    <row r="84" spans="1:9" s="109" customFormat="1" ht="15" customHeight="1">
      <c r="A84" s="247"/>
      <c r="B84" s="45" t="s">
        <v>47</v>
      </c>
      <c r="C84" s="124"/>
      <c r="D84" s="45"/>
      <c r="E84" s="206" t="s">
        <v>52</v>
      </c>
      <c r="F84" s="45" t="s">
        <v>3</v>
      </c>
      <c r="G84" s="110">
        <v>36750</v>
      </c>
      <c r="H84" s="111">
        <f t="shared" ref="H84:H85" si="19">E84*G84</f>
        <v>3675</v>
      </c>
    </row>
    <row r="85" spans="1:9" s="109" customFormat="1" ht="15" customHeight="1">
      <c r="A85" s="247"/>
      <c r="B85" s="45" t="s">
        <v>11</v>
      </c>
      <c r="C85" s="140"/>
      <c r="D85" s="45"/>
      <c r="E85" s="211">
        <v>0.1</v>
      </c>
      <c r="F85" s="45" t="s">
        <v>1</v>
      </c>
      <c r="G85" s="110">
        <v>57750</v>
      </c>
      <c r="H85" s="111">
        <f t="shared" si="19"/>
        <v>5775</v>
      </c>
      <c r="I85" s="113">
        <f>230*17000</f>
        <v>3910000</v>
      </c>
    </row>
    <row r="86" spans="1:9" s="109" customFormat="1" ht="15" customHeight="1">
      <c r="A86" s="247"/>
      <c r="B86" s="115" t="s">
        <v>25</v>
      </c>
      <c r="C86" s="115"/>
      <c r="D86" s="115"/>
      <c r="E86" s="209"/>
      <c r="F86" s="116"/>
      <c r="G86" s="115"/>
      <c r="H86" s="119">
        <f>144155+20</f>
        <v>144175</v>
      </c>
    </row>
    <row r="87" spans="1:9" s="120" customFormat="1" ht="20.399999999999999" customHeight="1">
      <c r="A87" s="166"/>
      <c r="B87" s="21"/>
      <c r="C87" s="21"/>
      <c r="D87" s="21"/>
      <c r="E87" s="212"/>
      <c r="F87" s="22"/>
      <c r="G87" s="21"/>
      <c r="H87" s="5">
        <f>SUM(H77:H86)</f>
        <v>3910000</v>
      </c>
      <c r="I87" s="165">
        <f>I85-H87</f>
        <v>0</v>
      </c>
    </row>
    <row r="88" spans="1:9" s="120" customFormat="1" ht="20.399999999999999" customHeight="1">
      <c r="A88" s="250" t="s">
        <v>189</v>
      </c>
      <c r="B88" s="94" t="s">
        <v>10</v>
      </c>
      <c r="C88" s="96">
        <f>E88/D88</f>
        <v>0.12196261682242991</v>
      </c>
      <c r="D88" s="163">
        <v>214</v>
      </c>
      <c r="E88" s="154" t="s">
        <v>194</v>
      </c>
      <c r="F88" s="105" t="s">
        <v>1</v>
      </c>
      <c r="G88" s="123">
        <v>21000</v>
      </c>
      <c r="H88" s="207">
        <f>E88*G88</f>
        <v>548100</v>
      </c>
      <c r="I88" s="165"/>
    </row>
    <row r="89" spans="1:9" s="120" customFormat="1" ht="20.399999999999999" customHeight="1">
      <c r="A89" s="251"/>
      <c r="B89" s="208" t="s">
        <v>115</v>
      </c>
      <c r="C89" s="97">
        <f>E89/D89</f>
        <v>0.10280373831775701</v>
      </c>
      <c r="D89" s="18">
        <v>214</v>
      </c>
      <c r="E89" s="49">
        <v>22</v>
      </c>
      <c r="F89" s="18" t="s">
        <v>1</v>
      </c>
      <c r="G89" s="19">
        <v>87150</v>
      </c>
      <c r="H89" s="207">
        <f>E89*G89</f>
        <v>1917300</v>
      </c>
      <c r="I89" s="165"/>
    </row>
    <row r="90" spans="1:9" s="120" customFormat="1" ht="20.399999999999999" customHeight="1">
      <c r="A90" s="251"/>
      <c r="B90" s="45" t="s">
        <v>44</v>
      </c>
      <c r="C90" s="45">
        <f t="shared" ref="C90:C91" si="20">E90/D90</f>
        <v>4.6261682242990654E-2</v>
      </c>
      <c r="D90" s="45">
        <v>214</v>
      </c>
      <c r="E90" s="206" t="s">
        <v>195</v>
      </c>
      <c r="F90" s="45" t="s">
        <v>1</v>
      </c>
      <c r="G90" s="110">
        <v>67200</v>
      </c>
      <c r="H90" s="207">
        <f t="shared" ref="H90:H95" si="21">E90*G90</f>
        <v>665280</v>
      </c>
      <c r="I90" s="165"/>
    </row>
    <row r="91" spans="1:9" s="120" customFormat="1" ht="20.399999999999999" customHeight="1">
      <c r="A91" s="251"/>
      <c r="B91" s="45" t="s">
        <v>121</v>
      </c>
      <c r="C91" s="124">
        <f t="shared" si="20"/>
        <v>4.6728971962616819E-3</v>
      </c>
      <c r="D91" s="141">
        <v>214</v>
      </c>
      <c r="E91" s="140">
        <v>1</v>
      </c>
      <c r="F91" s="45" t="s">
        <v>3</v>
      </c>
      <c r="G91" s="110">
        <v>141750</v>
      </c>
      <c r="H91" s="207">
        <f t="shared" si="21"/>
        <v>141750</v>
      </c>
      <c r="I91" s="165">
        <f>214*17000</f>
        <v>3638000</v>
      </c>
    </row>
    <row r="92" spans="1:9" s="120" customFormat="1" ht="20.399999999999999" customHeight="1">
      <c r="A92" s="251"/>
      <c r="B92" s="163" t="s">
        <v>179</v>
      </c>
      <c r="C92" s="183"/>
      <c r="D92" s="163">
        <v>214</v>
      </c>
      <c r="E92" s="156" t="s">
        <v>181</v>
      </c>
      <c r="F92" s="163" t="s">
        <v>3</v>
      </c>
      <c r="G92" s="181">
        <v>25200</v>
      </c>
      <c r="H92" s="207">
        <f t="shared" si="21"/>
        <v>100800</v>
      </c>
      <c r="I92" s="165"/>
    </row>
    <row r="93" spans="1:9" s="120" customFormat="1" ht="20.399999999999999" customHeight="1">
      <c r="A93" s="251"/>
      <c r="B93" s="163" t="s">
        <v>180</v>
      </c>
      <c r="C93" s="183"/>
      <c r="D93" s="163"/>
      <c r="E93" s="156" t="s">
        <v>81</v>
      </c>
      <c r="F93" s="163" t="s">
        <v>1</v>
      </c>
      <c r="G93" s="181">
        <v>22050</v>
      </c>
      <c r="H93" s="207">
        <f t="shared" si="21"/>
        <v>110250</v>
      </c>
      <c r="I93" s="165"/>
    </row>
    <row r="94" spans="1:9" s="120" customFormat="1" ht="20.399999999999999" customHeight="1">
      <c r="A94" s="251"/>
      <c r="B94" s="163" t="s">
        <v>47</v>
      </c>
      <c r="C94" s="180"/>
      <c r="D94" s="163"/>
      <c r="E94" s="156" t="s">
        <v>52</v>
      </c>
      <c r="F94" s="163" t="s">
        <v>3</v>
      </c>
      <c r="G94" s="110">
        <v>36750</v>
      </c>
      <c r="H94" s="207">
        <f t="shared" si="21"/>
        <v>3675</v>
      </c>
      <c r="I94" s="165">
        <f>H97-I91</f>
        <v>0</v>
      </c>
    </row>
    <row r="95" spans="1:9" s="120" customFormat="1" ht="20.399999999999999" customHeight="1">
      <c r="A95" s="251"/>
      <c r="B95" s="163" t="s">
        <v>11</v>
      </c>
      <c r="C95" s="164"/>
      <c r="D95" s="163"/>
      <c r="E95" s="215">
        <v>0.1</v>
      </c>
      <c r="F95" s="163" t="s">
        <v>1</v>
      </c>
      <c r="G95" s="110">
        <v>57750</v>
      </c>
      <c r="H95" s="207">
        <f t="shared" si="21"/>
        <v>5775</v>
      </c>
      <c r="I95" s="165"/>
    </row>
    <row r="96" spans="1:9" s="120" customFormat="1" ht="20.399999999999999" customHeight="1">
      <c r="A96" s="194"/>
      <c r="B96" s="184" t="s">
        <v>25</v>
      </c>
      <c r="C96" s="184"/>
      <c r="D96" s="184"/>
      <c r="E96" s="213"/>
      <c r="F96" s="186"/>
      <c r="G96" s="184"/>
      <c r="H96" s="207">
        <f>144155+915</f>
        <v>145070</v>
      </c>
      <c r="I96" s="165"/>
    </row>
    <row r="97" spans="1:9" s="120" customFormat="1" ht="20.399999999999999" customHeight="1">
      <c r="A97" s="166"/>
      <c r="B97" s="195"/>
      <c r="C97" s="167"/>
      <c r="D97" s="195"/>
      <c r="E97" s="214"/>
      <c r="F97" s="195"/>
      <c r="G97" s="196"/>
      <c r="H97" s="197">
        <f>SUM(H88:H96)</f>
        <v>3638000</v>
      </c>
      <c r="I97" s="165">
        <f>H97-I91</f>
        <v>0</v>
      </c>
    </row>
    <row r="98" spans="1:9" s="120" customFormat="1" ht="15" customHeight="1">
      <c r="A98" s="243" t="s">
        <v>190</v>
      </c>
      <c r="B98" s="105" t="s">
        <v>20</v>
      </c>
      <c r="C98" s="122">
        <f>E98/D98</f>
        <v>0.1206140350877193</v>
      </c>
      <c r="D98" s="163">
        <v>228</v>
      </c>
      <c r="E98" s="154" t="s">
        <v>123</v>
      </c>
      <c r="F98" s="105" t="s">
        <v>1</v>
      </c>
      <c r="G98" s="123">
        <v>21000</v>
      </c>
      <c r="H98" s="107">
        <f>E98*G98</f>
        <v>577500</v>
      </c>
      <c r="I98" s="189"/>
    </row>
    <row r="99" spans="1:9" s="120" customFormat="1" ht="24.6" customHeight="1">
      <c r="A99" s="243"/>
      <c r="B99" s="45" t="s">
        <v>91</v>
      </c>
      <c r="C99" s="124">
        <f t="shared" ref="C99:C102" si="22">E99/D99</f>
        <v>6.5789473684210523E-2</v>
      </c>
      <c r="D99" s="163">
        <v>228</v>
      </c>
      <c r="E99" s="140">
        <v>15</v>
      </c>
      <c r="F99" s="45" t="s">
        <v>1</v>
      </c>
      <c r="G99" s="110">
        <v>140700</v>
      </c>
      <c r="H99" s="111">
        <f>E99*G99-1892</f>
        <v>2108608</v>
      </c>
    </row>
    <row r="100" spans="1:9" s="120" customFormat="1" ht="15" customHeight="1">
      <c r="A100" s="243"/>
      <c r="B100" s="45" t="s">
        <v>164</v>
      </c>
      <c r="C100" s="125">
        <f t="shared" si="22"/>
        <v>3.9035087719298249E-2</v>
      </c>
      <c r="D100" s="141">
        <v>228</v>
      </c>
      <c r="E100" s="192" t="s">
        <v>197</v>
      </c>
      <c r="F100" s="45" t="s">
        <v>1</v>
      </c>
      <c r="G100" s="110">
        <v>81900</v>
      </c>
      <c r="H100" s="111">
        <f>E100*G100</f>
        <v>728910</v>
      </c>
    </row>
    <row r="101" spans="1:9" s="120" customFormat="1" ht="15" customHeight="1">
      <c r="A101" s="243"/>
      <c r="B101" s="45" t="s">
        <v>51</v>
      </c>
      <c r="C101" s="125">
        <f t="shared" si="22"/>
        <v>4.3859649122807015E-3</v>
      </c>
      <c r="D101" s="163">
        <v>228</v>
      </c>
      <c r="E101" s="206" t="s">
        <v>26</v>
      </c>
      <c r="F101" s="45" t="s">
        <v>1</v>
      </c>
      <c r="G101" s="110">
        <v>173250</v>
      </c>
      <c r="H101" s="111">
        <f t="shared" ref="H101:H105" si="23">E101*G101</f>
        <v>173250</v>
      </c>
    </row>
    <row r="102" spans="1:9" s="120" customFormat="1" ht="15" customHeight="1">
      <c r="A102" s="188"/>
      <c r="B102" s="45" t="s">
        <v>165</v>
      </c>
      <c r="C102" s="125">
        <f t="shared" si="22"/>
        <v>1.3157894736842105E-2</v>
      </c>
      <c r="D102" s="141">
        <v>228</v>
      </c>
      <c r="E102" s="206" t="s">
        <v>54</v>
      </c>
      <c r="F102" s="45" t="s">
        <v>3</v>
      </c>
      <c r="G102" s="110">
        <v>23100</v>
      </c>
      <c r="H102" s="111">
        <f t="shared" si="23"/>
        <v>69300</v>
      </c>
    </row>
    <row r="103" spans="1:9" s="120" customFormat="1" ht="15" customHeight="1">
      <c r="A103" s="188"/>
      <c r="B103" s="45" t="s">
        <v>166</v>
      </c>
      <c r="C103" s="147"/>
      <c r="D103" s="141"/>
      <c r="E103" s="206" t="s">
        <v>129</v>
      </c>
      <c r="F103" s="45" t="s">
        <v>3</v>
      </c>
      <c r="G103" s="110">
        <v>31500</v>
      </c>
      <c r="H103" s="111">
        <f t="shared" si="23"/>
        <v>63000</v>
      </c>
    </row>
    <row r="104" spans="1:9" s="120" customFormat="1" ht="15" customHeight="1">
      <c r="A104" s="188"/>
      <c r="B104" s="45" t="s">
        <v>80</v>
      </c>
      <c r="C104" s="126"/>
      <c r="D104" s="45"/>
      <c r="E104" s="206" t="s">
        <v>52</v>
      </c>
      <c r="F104" s="45" t="s">
        <v>1</v>
      </c>
      <c r="G104" s="110">
        <v>60900</v>
      </c>
      <c r="H104" s="111">
        <f t="shared" si="23"/>
        <v>6090</v>
      </c>
    </row>
    <row r="105" spans="1:9" s="120" customFormat="1" ht="15" customHeight="1">
      <c r="A105" s="188"/>
      <c r="B105" s="45" t="s">
        <v>89</v>
      </c>
      <c r="C105" s="115"/>
      <c r="D105" s="45"/>
      <c r="E105" s="206" t="s">
        <v>52</v>
      </c>
      <c r="F105" s="45" t="s">
        <v>1</v>
      </c>
      <c r="G105" s="110">
        <v>42000</v>
      </c>
      <c r="H105" s="111">
        <f t="shared" si="23"/>
        <v>4200</v>
      </c>
    </row>
    <row r="106" spans="1:9" s="120" customFormat="1" ht="15" customHeight="1">
      <c r="A106" s="188"/>
      <c r="B106" s="184" t="s">
        <v>25</v>
      </c>
      <c r="C106" s="184"/>
      <c r="D106" s="184"/>
      <c r="E106" s="213"/>
      <c r="F106" s="186"/>
      <c r="G106" s="184"/>
      <c r="H106" s="187">
        <f>144155+987</f>
        <v>145142</v>
      </c>
    </row>
    <row r="107" spans="1:9" s="134" customFormat="1" ht="19.8" customHeight="1">
      <c r="A107" s="168"/>
      <c r="B107" s="148"/>
      <c r="C107" s="148"/>
      <c r="D107" s="148"/>
      <c r="E107" s="157"/>
      <c r="F107" s="169"/>
      <c r="G107" s="148"/>
      <c r="H107" s="170">
        <f>SUM(H98:H106)</f>
        <v>3876000</v>
      </c>
      <c r="I107" s="151">
        <f>D99*17000</f>
        <v>3876000</v>
      </c>
    </row>
    <row r="108" spans="1:9">
      <c r="A108" s="100"/>
      <c r="B108" s="100"/>
      <c r="C108" s="100"/>
      <c r="D108" s="100"/>
      <c r="E108" s="216"/>
      <c r="I108" s="34">
        <f>H107-I107</f>
        <v>0</v>
      </c>
    </row>
    <row r="109" spans="1:9" ht="18">
      <c r="A109" s="244" t="s">
        <v>29</v>
      </c>
      <c r="B109" s="244"/>
      <c r="C109" s="244" t="s">
        <v>30</v>
      </c>
      <c r="D109" s="244"/>
      <c r="E109" s="244"/>
      <c r="F109" s="1"/>
      <c r="G109" s="244" t="s">
        <v>31</v>
      </c>
      <c r="H109" s="244"/>
    </row>
    <row r="110" spans="1:9">
      <c r="I110" s="71" t="s">
        <v>191</v>
      </c>
    </row>
    <row r="111" spans="1:9">
      <c r="I111" t="s">
        <v>193</v>
      </c>
    </row>
    <row r="112" spans="1:9">
      <c r="I112" t="s">
        <v>192</v>
      </c>
    </row>
    <row r="113" spans="1:9" ht="20.399999999999999">
      <c r="I113" s="218" t="s">
        <v>196</v>
      </c>
    </row>
    <row r="123" spans="1:9" ht="15.6">
      <c r="A123" s="6" t="s">
        <v>0</v>
      </c>
      <c r="B123" s="6"/>
    </row>
    <row r="124" spans="1:9" s="102" customFormat="1" ht="16.8" customHeight="1">
      <c r="A124" s="244" t="s">
        <v>171</v>
      </c>
      <c r="B124" s="244"/>
      <c r="C124" s="244"/>
      <c r="D124" s="244"/>
      <c r="E124" s="244"/>
      <c r="F124" s="244"/>
      <c r="G124" s="244"/>
      <c r="H124" s="244"/>
      <c r="I124" s="149">
        <f>1996200/15</f>
        <v>133080</v>
      </c>
    </row>
    <row r="125" spans="1:9" s="102" customFormat="1" ht="16.2" customHeight="1">
      <c r="A125" s="101"/>
      <c r="B125" s="245" t="s">
        <v>172</v>
      </c>
      <c r="C125" s="245"/>
      <c r="D125" s="245"/>
      <c r="E125" s="245"/>
      <c r="F125" s="245"/>
      <c r="G125" s="245"/>
      <c r="H125" s="245"/>
    </row>
    <row r="126" spans="1:9" s="109" customFormat="1" ht="15" customHeight="1">
      <c r="A126" s="246" t="s">
        <v>167</v>
      </c>
      <c r="B126" s="161" t="s">
        <v>10</v>
      </c>
      <c r="C126" s="104">
        <f>E126/D126</f>
        <v>0.12043478260869565</v>
      </c>
      <c r="D126" s="45">
        <v>230</v>
      </c>
      <c r="E126" s="135">
        <v>27.7</v>
      </c>
      <c r="F126" s="105" t="s">
        <v>1</v>
      </c>
      <c r="G126" s="205">
        <v>21000</v>
      </c>
      <c r="H126" s="107">
        <f>E126*G126</f>
        <v>581700</v>
      </c>
      <c r="I126" s="150" t="e">
        <f>#REF!-#REF!</f>
        <v>#REF!</v>
      </c>
    </row>
    <row r="127" spans="1:9" s="109" customFormat="1" ht="15" customHeight="1">
      <c r="A127" s="247"/>
      <c r="B127" s="45" t="s">
        <v>5</v>
      </c>
      <c r="C127" s="45">
        <f>E127/D127</f>
        <v>7.0434782608695651E-2</v>
      </c>
      <c r="D127" s="45">
        <v>230</v>
      </c>
      <c r="E127" s="140">
        <v>16.2</v>
      </c>
      <c r="F127" s="45" t="s">
        <v>1</v>
      </c>
      <c r="G127" s="110">
        <v>141750</v>
      </c>
      <c r="H127" s="111">
        <f>E127*G127</f>
        <v>2296350</v>
      </c>
      <c r="I127" s="113">
        <f>230*17000</f>
        <v>3910000</v>
      </c>
    </row>
    <row r="128" spans="1:9" s="109" customFormat="1" ht="15" customHeight="1">
      <c r="A128" s="247"/>
      <c r="B128" s="45" t="s">
        <v>42</v>
      </c>
      <c r="C128" s="45">
        <f t="shared" ref="C128:C129" si="24">E128/D128</f>
        <v>3.0434782608695652E-3</v>
      </c>
      <c r="D128" s="45">
        <v>230</v>
      </c>
      <c r="E128" s="206" t="s">
        <v>43</v>
      </c>
      <c r="F128" s="45" t="s">
        <v>1</v>
      </c>
      <c r="G128" s="110">
        <v>304500</v>
      </c>
      <c r="H128" s="111">
        <f t="shared" ref="H128:H132" si="25">E128*G128</f>
        <v>213150</v>
      </c>
    </row>
    <row r="129" spans="1:9" s="109" customFormat="1" ht="15" customHeight="1">
      <c r="A129" s="247"/>
      <c r="B129" s="45" t="s">
        <v>44</v>
      </c>
      <c r="C129" s="45">
        <f t="shared" si="24"/>
        <v>3.2173913043478261E-2</v>
      </c>
      <c r="D129" s="45">
        <v>230</v>
      </c>
      <c r="E129" s="206" t="s">
        <v>118</v>
      </c>
      <c r="F129" s="45" t="s">
        <v>1</v>
      </c>
      <c r="G129" s="110">
        <v>67200</v>
      </c>
      <c r="H129" s="111">
        <f t="shared" si="25"/>
        <v>497280</v>
      </c>
      <c r="I129" s="121">
        <f>I127-H134</f>
        <v>0</v>
      </c>
    </row>
    <row r="130" spans="1:9" s="109" customFormat="1" ht="15" customHeight="1">
      <c r="A130" s="247"/>
      <c r="B130" s="45" t="s">
        <v>63</v>
      </c>
      <c r="C130" s="140"/>
      <c r="D130" s="45"/>
      <c r="E130" s="140">
        <v>0.1</v>
      </c>
      <c r="F130" s="45" t="s">
        <v>3</v>
      </c>
      <c r="G130" s="110">
        <v>36750</v>
      </c>
      <c r="H130" s="111">
        <f t="shared" si="25"/>
        <v>3675</v>
      </c>
    </row>
    <row r="131" spans="1:9" s="109" customFormat="1" ht="15" customHeight="1">
      <c r="A131" s="247"/>
      <c r="B131" s="45" t="s">
        <v>131</v>
      </c>
      <c r="C131" s="125"/>
      <c r="D131" s="45"/>
      <c r="E131" s="206" t="s">
        <v>135</v>
      </c>
      <c r="F131" s="45" t="s">
        <v>1</v>
      </c>
      <c r="G131" s="110">
        <v>31500</v>
      </c>
      <c r="H131" s="111">
        <f t="shared" si="25"/>
        <v>166950</v>
      </c>
    </row>
    <row r="132" spans="1:9" s="109" customFormat="1" ht="15" customHeight="1">
      <c r="A132" s="247"/>
      <c r="B132" s="45" t="s">
        <v>11</v>
      </c>
      <c r="C132" s="45"/>
      <c r="D132" s="45"/>
      <c r="E132" s="140">
        <v>0.1</v>
      </c>
      <c r="F132" s="45" t="s">
        <v>1</v>
      </c>
      <c r="G132" s="110">
        <v>57750</v>
      </c>
      <c r="H132" s="111">
        <f t="shared" si="25"/>
        <v>5775</v>
      </c>
    </row>
    <row r="133" spans="1:9" s="109" customFormat="1" ht="15" customHeight="1">
      <c r="A133" s="248"/>
      <c r="B133" s="115" t="s">
        <v>25</v>
      </c>
      <c r="C133" s="115"/>
      <c r="D133" s="115"/>
      <c r="E133" s="209"/>
      <c r="F133" s="116"/>
      <c r="G133" s="115"/>
      <c r="H133" s="111">
        <f>144155+965</f>
        <v>145120</v>
      </c>
      <c r="I133" s="109">
        <v>130426</v>
      </c>
    </row>
    <row r="134" spans="1:9" s="128" customFormat="1" ht="18.600000000000001" customHeight="1">
      <c r="A134" s="129"/>
      <c r="B134" s="130"/>
      <c r="C134" s="131"/>
      <c r="D134" s="131"/>
      <c r="E134" s="210"/>
      <c r="F134" s="132"/>
      <c r="G134" s="130"/>
      <c r="H134" s="133">
        <f>SUM(H126:H133)</f>
        <v>3910000</v>
      </c>
      <c r="I134" s="151">
        <f>H134-I127</f>
        <v>0</v>
      </c>
    </row>
    <row r="135" spans="1:9" s="109" customFormat="1" ht="15" customHeight="1">
      <c r="A135" s="112"/>
      <c r="B135" s="161" t="s">
        <v>20</v>
      </c>
      <c r="C135" s="147">
        <f>E135/D135</f>
        <v>0.12043478260869565</v>
      </c>
      <c r="D135" s="45">
        <v>230</v>
      </c>
      <c r="E135" s="203" t="s">
        <v>114</v>
      </c>
      <c r="F135" s="137" t="s">
        <v>1</v>
      </c>
      <c r="G135" s="204">
        <v>21000</v>
      </c>
      <c r="H135" s="138">
        <f>E135*G135</f>
        <v>581700</v>
      </c>
      <c r="I135" s="109">
        <f>4205303-3893000</f>
        <v>312303</v>
      </c>
    </row>
    <row r="136" spans="1:9" s="109" customFormat="1" ht="15" customHeight="1">
      <c r="A136" s="247" t="s">
        <v>168</v>
      </c>
      <c r="B136" s="137" t="s">
        <v>125</v>
      </c>
      <c r="C136" s="124">
        <f t="shared" ref="C136:C138" si="26">E136/D136</f>
        <v>7.5652173913043477E-2</v>
      </c>
      <c r="D136" s="45">
        <v>230</v>
      </c>
      <c r="E136" s="203" t="s">
        <v>163</v>
      </c>
      <c r="F136" s="45" t="s">
        <v>1</v>
      </c>
      <c r="G136" s="204">
        <v>131250</v>
      </c>
      <c r="H136" s="111">
        <f>G136*E136</f>
        <v>2283750</v>
      </c>
    </row>
    <row r="137" spans="1:9" s="109" customFormat="1" ht="19.2" customHeight="1">
      <c r="A137" s="247"/>
      <c r="B137" s="45" t="s">
        <v>121</v>
      </c>
      <c r="C137" s="124">
        <f t="shared" si="26"/>
        <v>4.3478260869565218E-3</v>
      </c>
      <c r="D137" s="141">
        <v>230</v>
      </c>
      <c r="E137" s="140">
        <v>1</v>
      </c>
      <c r="F137" s="45" t="s">
        <v>3</v>
      </c>
      <c r="G137" s="110">
        <v>141750</v>
      </c>
      <c r="H137" s="111">
        <f t="shared" ref="H137" si="27">E137*G137</f>
        <v>141750</v>
      </c>
      <c r="I137" s="114">
        <f>230*17000</f>
        <v>3910000</v>
      </c>
    </row>
    <row r="138" spans="1:9" s="109" customFormat="1" ht="15" customHeight="1">
      <c r="A138" s="247"/>
      <c r="B138" s="45" t="s">
        <v>6</v>
      </c>
      <c r="C138" s="125">
        <f t="shared" si="26"/>
        <v>0.54545454545454541</v>
      </c>
      <c r="D138" s="45">
        <v>220</v>
      </c>
      <c r="E138" s="206" t="s">
        <v>174</v>
      </c>
      <c r="F138" s="45" t="s">
        <v>175</v>
      </c>
      <c r="G138" s="110">
        <v>3510</v>
      </c>
      <c r="H138" s="111">
        <f>E138*G138</f>
        <v>421200</v>
      </c>
    </row>
    <row r="139" spans="1:9" s="109" customFormat="1" ht="15" customHeight="1">
      <c r="A139" s="247"/>
      <c r="B139" s="45" t="s">
        <v>127</v>
      </c>
      <c r="C139" s="125"/>
      <c r="D139" s="45"/>
      <c r="E139" s="206" t="s">
        <v>54</v>
      </c>
      <c r="F139" s="45" t="s">
        <v>128</v>
      </c>
      <c r="G139" s="110">
        <v>37800</v>
      </c>
      <c r="H139" s="111">
        <f>E139*G139</f>
        <v>113400</v>
      </c>
    </row>
    <row r="140" spans="1:9" s="109" customFormat="1" ht="15" customHeight="1">
      <c r="A140" s="247"/>
      <c r="B140" s="45" t="s">
        <v>130</v>
      </c>
      <c r="C140" s="125"/>
      <c r="D140" s="45"/>
      <c r="E140" s="206" t="s">
        <v>26</v>
      </c>
      <c r="F140" s="45" t="s">
        <v>3</v>
      </c>
      <c r="G140" s="110">
        <v>44280</v>
      </c>
      <c r="H140" s="111">
        <f>E140*G140</f>
        <v>44280</v>
      </c>
    </row>
    <row r="141" spans="1:9" s="109" customFormat="1" ht="15" customHeight="1">
      <c r="A141" s="247"/>
      <c r="B141" s="45" t="s">
        <v>173</v>
      </c>
      <c r="C141" s="125"/>
      <c r="D141" s="45"/>
      <c r="E141" s="206" t="s">
        <v>93</v>
      </c>
      <c r="F141" s="45" t="s">
        <v>3</v>
      </c>
      <c r="G141" s="110">
        <v>31500</v>
      </c>
      <c r="H141" s="111">
        <f>E141*G141</f>
        <v>182700</v>
      </c>
    </row>
    <row r="142" spans="1:9" s="109" customFormat="1" ht="15" customHeight="1">
      <c r="A142" s="247"/>
      <c r="B142" s="45" t="s">
        <v>47</v>
      </c>
      <c r="C142" s="124"/>
      <c r="D142" s="45"/>
      <c r="E142" s="206" t="s">
        <v>52</v>
      </c>
      <c r="F142" s="45" t="s">
        <v>3</v>
      </c>
      <c r="G142" s="110">
        <v>36750</v>
      </c>
      <c r="H142" s="111">
        <f t="shared" ref="H142:H143" si="28">E142*G142</f>
        <v>3675</v>
      </c>
    </row>
    <row r="143" spans="1:9" s="109" customFormat="1" ht="15" customHeight="1">
      <c r="A143" s="247"/>
      <c r="B143" s="45" t="s">
        <v>11</v>
      </c>
      <c r="C143" s="140"/>
      <c r="D143" s="45"/>
      <c r="E143" s="211">
        <v>0.1</v>
      </c>
      <c r="F143" s="45" t="s">
        <v>1</v>
      </c>
      <c r="G143" s="110">
        <v>57750</v>
      </c>
      <c r="H143" s="111">
        <f t="shared" si="28"/>
        <v>5775</v>
      </c>
      <c r="I143" s="113">
        <f>230*17000</f>
        <v>3910000</v>
      </c>
    </row>
    <row r="144" spans="1:9" s="109" customFormat="1" ht="15" customHeight="1">
      <c r="A144" s="247"/>
      <c r="B144" s="115" t="s">
        <v>25</v>
      </c>
      <c r="C144" s="115"/>
      <c r="D144" s="115"/>
      <c r="E144" s="209"/>
      <c r="F144" s="116"/>
      <c r="G144" s="115"/>
      <c r="H144" s="119">
        <f>130426+1089+255</f>
        <v>131770</v>
      </c>
    </row>
    <row r="145" spans="1:9" s="120" customFormat="1" ht="20.399999999999999" customHeight="1">
      <c r="A145" s="166"/>
      <c r="B145" s="21"/>
      <c r="C145" s="21"/>
      <c r="D145" s="21"/>
      <c r="E145" s="212"/>
      <c r="F145" s="22"/>
      <c r="G145" s="21"/>
      <c r="H145" s="5">
        <f>SUM(H135:H144)</f>
        <v>3910000</v>
      </c>
      <c r="I145" s="165">
        <f>I143-H145</f>
        <v>0</v>
      </c>
    </row>
    <row r="146" spans="1:9" s="120" customFormat="1" ht="20.399999999999999" customHeight="1">
      <c r="A146" s="250" t="s">
        <v>169</v>
      </c>
      <c r="B146" s="105" t="s">
        <v>20</v>
      </c>
      <c r="C146" s="122">
        <f>E146/D146</f>
        <v>0.12034632034632035</v>
      </c>
      <c r="D146" s="163">
        <v>231</v>
      </c>
      <c r="E146" s="154" t="s">
        <v>112</v>
      </c>
      <c r="F146" s="105" t="s">
        <v>1</v>
      </c>
      <c r="G146" s="123">
        <v>21000</v>
      </c>
      <c r="H146" s="107">
        <f>E146*G146</f>
        <v>583800</v>
      </c>
      <c r="I146" s="165"/>
    </row>
    <row r="147" spans="1:9" s="120" customFormat="1" ht="20.399999999999999" customHeight="1">
      <c r="A147" s="251"/>
      <c r="B147" s="45" t="s">
        <v>91</v>
      </c>
      <c r="C147" s="124">
        <f t="shared" ref="C147:C150" si="29">E147/D147</f>
        <v>6.8398268398268403E-2</v>
      </c>
      <c r="D147" s="163">
        <v>231</v>
      </c>
      <c r="E147" s="140">
        <v>15.8</v>
      </c>
      <c r="F147" s="45" t="s">
        <v>1</v>
      </c>
      <c r="G147" s="110">
        <v>140700</v>
      </c>
      <c r="H147" s="111">
        <f>E147*G147-1892</f>
        <v>2221168</v>
      </c>
      <c r="I147" s="165" t="s">
        <v>177</v>
      </c>
    </row>
    <row r="148" spans="1:9" s="120" customFormat="1" ht="20.399999999999999" customHeight="1">
      <c r="A148" s="251"/>
      <c r="B148" s="45" t="s">
        <v>164</v>
      </c>
      <c r="C148" s="125">
        <f t="shared" si="29"/>
        <v>3.67965367965368E-2</v>
      </c>
      <c r="D148" s="141">
        <v>231</v>
      </c>
      <c r="E148" s="192" t="s">
        <v>176</v>
      </c>
      <c r="F148" s="45" t="s">
        <v>1</v>
      </c>
      <c r="G148" s="110">
        <v>78750</v>
      </c>
      <c r="H148" s="111">
        <f>E148*G148</f>
        <v>669375</v>
      </c>
      <c r="I148" s="165"/>
    </row>
    <row r="149" spans="1:9" s="120" customFormat="1" ht="20.399999999999999" customHeight="1">
      <c r="A149" s="251"/>
      <c r="B149" s="45" t="s">
        <v>51</v>
      </c>
      <c r="C149" s="125">
        <f t="shared" si="29"/>
        <v>4.329004329004329E-3</v>
      </c>
      <c r="D149" s="163">
        <v>231</v>
      </c>
      <c r="E149" s="206" t="s">
        <v>26</v>
      </c>
      <c r="F149" s="45" t="s">
        <v>1</v>
      </c>
      <c r="G149" s="110">
        <v>173250</v>
      </c>
      <c r="H149" s="111">
        <f t="shared" ref="H149:H153" si="30">E149*G149</f>
        <v>173250</v>
      </c>
      <c r="I149" s="165">
        <f>231*17000</f>
        <v>3927000</v>
      </c>
    </row>
    <row r="150" spans="1:9" s="120" customFormat="1" ht="20.399999999999999" customHeight="1">
      <c r="A150" s="251"/>
      <c r="B150" s="45" t="s">
        <v>165</v>
      </c>
      <c r="C150" s="125">
        <f t="shared" si="29"/>
        <v>1.7748917748917747E-2</v>
      </c>
      <c r="D150" s="141">
        <v>231</v>
      </c>
      <c r="E150" s="206" t="s">
        <v>178</v>
      </c>
      <c r="F150" s="45" t="s">
        <v>3</v>
      </c>
      <c r="G150" s="110">
        <v>23100</v>
      </c>
      <c r="H150" s="111">
        <f t="shared" si="30"/>
        <v>94709.999999999985</v>
      </c>
      <c r="I150" s="165"/>
    </row>
    <row r="151" spans="1:9" s="120" customFormat="1" ht="20.399999999999999" customHeight="1">
      <c r="A151" s="251"/>
      <c r="B151" s="45" t="s">
        <v>166</v>
      </c>
      <c r="C151" s="147"/>
      <c r="D151" s="141"/>
      <c r="E151" s="206" t="s">
        <v>26</v>
      </c>
      <c r="F151" s="45" t="s">
        <v>3</v>
      </c>
      <c r="G151" s="110">
        <v>31500</v>
      </c>
      <c r="H151" s="111">
        <f t="shared" si="30"/>
        <v>31500</v>
      </c>
      <c r="I151" s="165"/>
    </row>
    <row r="152" spans="1:9" s="120" customFormat="1" ht="20.399999999999999" customHeight="1">
      <c r="A152" s="251"/>
      <c r="B152" s="45" t="s">
        <v>80</v>
      </c>
      <c r="C152" s="126"/>
      <c r="D152" s="45"/>
      <c r="E152" s="206" t="s">
        <v>52</v>
      </c>
      <c r="F152" s="45" t="s">
        <v>1</v>
      </c>
      <c r="G152" s="110">
        <v>60900</v>
      </c>
      <c r="H152" s="111">
        <f t="shared" si="30"/>
        <v>6090</v>
      </c>
      <c r="I152" s="165">
        <f>H155-I149</f>
        <v>0</v>
      </c>
    </row>
    <row r="153" spans="1:9" s="120" customFormat="1" ht="20.399999999999999" customHeight="1">
      <c r="A153" s="251"/>
      <c r="B153" s="45" t="s">
        <v>89</v>
      </c>
      <c r="C153" s="115"/>
      <c r="D153" s="45"/>
      <c r="E153" s="206" t="s">
        <v>52</v>
      </c>
      <c r="F153" s="45" t="s">
        <v>1</v>
      </c>
      <c r="G153" s="110">
        <v>42000</v>
      </c>
      <c r="H153" s="111">
        <f t="shared" si="30"/>
        <v>4200</v>
      </c>
      <c r="I153" s="165"/>
    </row>
    <row r="154" spans="1:9" s="120" customFormat="1" ht="20.399999999999999" customHeight="1">
      <c r="A154" s="194"/>
      <c r="B154" s="184" t="s">
        <v>25</v>
      </c>
      <c r="C154" s="184"/>
      <c r="D154" s="184"/>
      <c r="E154" s="213"/>
      <c r="F154" s="186"/>
      <c r="G154" s="184"/>
      <c r="H154" s="187">
        <f>144155-1248</f>
        <v>142907</v>
      </c>
      <c r="I154" s="165"/>
    </row>
    <row r="155" spans="1:9" s="120" customFormat="1" ht="20.399999999999999" customHeight="1">
      <c r="A155" s="166"/>
      <c r="B155" s="195"/>
      <c r="C155" s="167"/>
      <c r="D155" s="195"/>
      <c r="E155" s="214"/>
      <c r="F155" s="195"/>
      <c r="G155" s="196"/>
      <c r="H155" s="197">
        <f>SUM(H146:H154)</f>
        <v>3927000</v>
      </c>
      <c r="I155" s="165">
        <f>H155-I149</f>
        <v>0</v>
      </c>
    </row>
    <row r="156" spans="1:9" s="120" customFormat="1" ht="15" customHeight="1">
      <c r="A156" s="243" t="s">
        <v>170</v>
      </c>
      <c r="B156" s="94" t="s">
        <v>10</v>
      </c>
      <c r="C156" s="96">
        <f>E156/D156</f>
        <v>0.12034632034632035</v>
      </c>
      <c r="D156" s="163">
        <v>231</v>
      </c>
      <c r="E156" s="154" t="s">
        <v>112</v>
      </c>
      <c r="F156" s="105" t="s">
        <v>1</v>
      </c>
      <c r="G156" s="123">
        <v>21000</v>
      </c>
      <c r="H156" s="207">
        <f>G156*E156</f>
        <v>583800</v>
      </c>
      <c r="I156" s="189"/>
    </row>
    <row r="157" spans="1:9" s="120" customFormat="1" ht="24.6" customHeight="1">
      <c r="A157" s="243"/>
      <c r="B157" s="208" t="s">
        <v>115</v>
      </c>
      <c r="C157" s="97">
        <f>E157/D157</f>
        <v>9.9567099567099568E-2</v>
      </c>
      <c r="D157" s="18">
        <v>231</v>
      </c>
      <c r="E157" s="49">
        <v>23</v>
      </c>
      <c r="F157" s="18" t="s">
        <v>1</v>
      </c>
      <c r="G157" s="19">
        <v>87150</v>
      </c>
      <c r="H157" s="207">
        <f>G157*E157</f>
        <v>2004450</v>
      </c>
    </row>
    <row r="158" spans="1:9" s="120" customFormat="1" ht="15" customHeight="1">
      <c r="A158" s="243"/>
      <c r="B158" s="45" t="s">
        <v>44</v>
      </c>
      <c r="C158" s="45">
        <f t="shared" ref="C158" si="31">E158/D158</f>
        <v>5.2173913043478258E-2</v>
      </c>
      <c r="D158" s="45">
        <v>230</v>
      </c>
      <c r="E158" s="206" t="s">
        <v>113</v>
      </c>
      <c r="F158" s="45" t="s">
        <v>1</v>
      </c>
      <c r="G158" s="110">
        <v>67200</v>
      </c>
      <c r="H158" s="111">
        <f t="shared" ref="H158" si="32">E158*G158</f>
        <v>806400</v>
      </c>
    </row>
    <row r="159" spans="1:9" s="120" customFormat="1" ht="15" customHeight="1">
      <c r="A159" s="243"/>
      <c r="B159" s="45" t="s">
        <v>121</v>
      </c>
      <c r="C159" s="124">
        <f t="shared" ref="C159" si="33">E159/D159</f>
        <v>4.329004329004329E-3</v>
      </c>
      <c r="D159" s="141">
        <v>231</v>
      </c>
      <c r="E159" s="140">
        <v>1</v>
      </c>
      <c r="F159" s="45" t="s">
        <v>3</v>
      </c>
      <c r="G159" s="110">
        <v>141750</v>
      </c>
      <c r="H159" s="111">
        <f t="shared" ref="H159" si="34">E159*G159</f>
        <v>141750</v>
      </c>
    </row>
    <row r="160" spans="1:9" s="120" customFormat="1" ht="15" customHeight="1">
      <c r="A160" s="188"/>
      <c r="B160" s="163" t="s">
        <v>179</v>
      </c>
      <c r="C160" s="183"/>
      <c r="D160" s="163">
        <v>231</v>
      </c>
      <c r="E160" s="156" t="s">
        <v>181</v>
      </c>
      <c r="F160" s="163" t="s">
        <v>3</v>
      </c>
      <c r="G160" s="181">
        <v>25200</v>
      </c>
      <c r="H160" s="182">
        <f>E160*G160</f>
        <v>100800</v>
      </c>
    </row>
    <row r="161" spans="1:9" s="120" customFormat="1" ht="15" customHeight="1">
      <c r="A161" s="188"/>
      <c r="B161" s="163" t="s">
        <v>180</v>
      </c>
      <c r="C161" s="183"/>
      <c r="D161" s="163"/>
      <c r="E161" s="156" t="s">
        <v>85</v>
      </c>
      <c r="F161" s="163" t="s">
        <v>1</v>
      </c>
      <c r="G161" s="181">
        <v>22050</v>
      </c>
      <c r="H161" s="182">
        <f t="shared" ref="H161:H163" si="35">E161*G161</f>
        <v>136710</v>
      </c>
    </row>
    <row r="162" spans="1:9" s="120" customFormat="1" ht="15" customHeight="1">
      <c r="A162" s="188"/>
      <c r="B162" s="163" t="s">
        <v>47</v>
      </c>
      <c r="C162" s="180"/>
      <c r="D162" s="163"/>
      <c r="E162" s="156" t="s">
        <v>52</v>
      </c>
      <c r="F162" s="163" t="s">
        <v>3</v>
      </c>
      <c r="G162" s="110">
        <v>36750</v>
      </c>
      <c r="H162" s="111">
        <f t="shared" si="35"/>
        <v>3675</v>
      </c>
    </row>
    <row r="163" spans="1:9" s="120" customFormat="1" ht="15" customHeight="1">
      <c r="A163" s="188"/>
      <c r="B163" s="163" t="s">
        <v>11</v>
      </c>
      <c r="C163" s="164"/>
      <c r="D163" s="163"/>
      <c r="E163" s="215">
        <v>0.1</v>
      </c>
      <c r="F163" s="163" t="s">
        <v>1</v>
      </c>
      <c r="G163" s="110">
        <v>57750</v>
      </c>
      <c r="H163" s="111">
        <f t="shared" si="35"/>
        <v>5775</v>
      </c>
    </row>
    <row r="164" spans="1:9" s="120" customFormat="1" ht="15" customHeight="1">
      <c r="A164" s="188"/>
      <c r="B164" s="184" t="s">
        <v>25</v>
      </c>
      <c r="C164" s="184"/>
      <c r="D164" s="184"/>
      <c r="E164" s="213"/>
      <c r="F164" s="186"/>
      <c r="G164" s="184"/>
      <c r="H164" s="187">
        <f>144155-515</f>
        <v>143640</v>
      </c>
    </row>
    <row r="165" spans="1:9" s="134" customFormat="1" ht="19.8" customHeight="1">
      <c r="A165" s="168"/>
      <c r="B165" s="148"/>
      <c r="C165" s="148"/>
      <c r="D165" s="148"/>
      <c r="E165" s="157"/>
      <c r="F165" s="169"/>
      <c r="G165" s="148"/>
      <c r="H165" s="170">
        <f>SUM(H156:H164)</f>
        <v>3927000</v>
      </c>
      <c r="I165" s="151">
        <f>231*17000</f>
        <v>3927000</v>
      </c>
    </row>
    <row r="166" spans="1:9">
      <c r="A166" s="100"/>
      <c r="B166" s="100"/>
      <c r="C166" s="100"/>
      <c r="D166" s="100"/>
      <c r="E166" s="216"/>
    </row>
    <row r="167" spans="1:9" ht="18">
      <c r="A167" s="244" t="s">
        <v>29</v>
      </c>
      <c r="B167" s="244"/>
      <c r="C167" s="244" t="s">
        <v>30</v>
      </c>
      <c r="D167" s="244"/>
      <c r="E167" s="244"/>
      <c r="F167" s="1"/>
      <c r="G167" s="244" t="s">
        <v>31</v>
      </c>
      <c r="H167" s="244"/>
    </row>
    <row r="183" spans="1:10" ht="15.6">
      <c r="A183" s="6" t="s">
        <v>0</v>
      </c>
      <c r="B183" s="6"/>
    </row>
    <row r="184" spans="1:10" s="102" customFormat="1" ht="16.8" customHeight="1">
      <c r="A184" s="244" t="s">
        <v>151</v>
      </c>
      <c r="B184" s="244"/>
      <c r="C184" s="244"/>
      <c r="D184" s="244"/>
      <c r="E184" s="244"/>
      <c r="F184" s="244"/>
      <c r="G184" s="244"/>
      <c r="H184" s="244"/>
      <c r="I184" s="149">
        <f>1996200/15</f>
        <v>133080</v>
      </c>
    </row>
    <row r="185" spans="1:10" s="102" customFormat="1" ht="16.8" customHeight="1">
      <c r="A185" s="101"/>
      <c r="B185" s="245" t="s">
        <v>154</v>
      </c>
      <c r="C185" s="245"/>
      <c r="D185" s="245"/>
      <c r="E185" s="245"/>
      <c r="F185" s="245"/>
      <c r="G185" s="245"/>
      <c r="H185" s="245"/>
    </row>
    <row r="186" spans="1:10" ht="15" customHeight="1">
      <c r="A186" s="7" t="s">
        <v>13</v>
      </c>
      <c r="B186" s="8" t="s">
        <v>14</v>
      </c>
      <c r="C186" s="9" t="s">
        <v>15</v>
      </c>
      <c r="D186" s="10" t="s">
        <v>16</v>
      </c>
      <c r="E186" s="7" t="s">
        <v>17</v>
      </c>
      <c r="F186" s="11" t="s">
        <v>4</v>
      </c>
      <c r="G186" s="7" t="s">
        <v>18</v>
      </c>
      <c r="H186" s="7" t="s">
        <v>19</v>
      </c>
      <c r="J186" s="14" t="e">
        <f>#REF!*#REF!</f>
        <v>#REF!</v>
      </c>
    </row>
    <row r="187" spans="1:10" s="109" customFormat="1" ht="15" customHeight="1">
      <c r="A187" s="253" t="s">
        <v>155</v>
      </c>
      <c r="B187" s="94" t="s">
        <v>10</v>
      </c>
      <c r="C187" s="96">
        <f>E187/D187</f>
        <v>0.11991341991341992</v>
      </c>
      <c r="D187" s="12">
        <v>231</v>
      </c>
      <c r="E187" s="158">
        <v>27.7</v>
      </c>
      <c r="F187" s="12" t="s">
        <v>1</v>
      </c>
      <c r="G187" s="95">
        <v>21525</v>
      </c>
      <c r="H187" s="14">
        <f>G187*E187</f>
        <v>596242.5</v>
      </c>
      <c r="I187" s="108"/>
      <c r="J187" s="111" t="e">
        <f>#REF!*#REF!</f>
        <v>#REF!</v>
      </c>
    </row>
    <row r="188" spans="1:10" s="109" customFormat="1" ht="15" customHeight="1">
      <c r="A188" s="254"/>
      <c r="B188" s="18" t="s">
        <v>115</v>
      </c>
      <c r="C188" s="97">
        <f>E188/D188</f>
        <v>0.11038961038961038</v>
      </c>
      <c r="D188" s="18">
        <v>231</v>
      </c>
      <c r="E188" s="49">
        <v>25.5</v>
      </c>
      <c r="F188" s="18" t="s">
        <v>1</v>
      </c>
      <c r="G188" s="19">
        <v>86100</v>
      </c>
      <c r="H188" s="20">
        <f>G188*E188</f>
        <v>2195550</v>
      </c>
      <c r="I188" s="114">
        <f>232*17000</f>
        <v>3944000</v>
      </c>
      <c r="J188" s="111" t="e">
        <f>#REF!*#REF!</f>
        <v>#REF!</v>
      </c>
    </row>
    <row r="189" spans="1:10" s="109" customFormat="1" ht="19.2" customHeight="1">
      <c r="A189" s="255"/>
      <c r="B189" s="18" t="s">
        <v>116</v>
      </c>
      <c r="C189" s="97">
        <f t="shared" ref="C189:C192" si="36">E189/D189</f>
        <v>3.67965367965368E-2</v>
      </c>
      <c r="D189" s="18">
        <v>231</v>
      </c>
      <c r="E189" s="49">
        <v>8.5</v>
      </c>
      <c r="F189" s="18" t="s">
        <v>1</v>
      </c>
      <c r="G189" s="19">
        <v>67200</v>
      </c>
      <c r="H189" s="20">
        <f t="shared" ref="H189:H192" si="37">G189*E189</f>
        <v>571200</v>
      </c>
      <c r="I189" s="117">
        <f>I188-H197</f>
        <v>17000.5</v>
      </c>
      <c r="J189" s="111" t="e">
        <f>#REF!*#REF!</f>
        <v>#REF!</v>
      </c>
    </row>
    <row r="190" spans="1:10" s="109" customFormat="1" ht="21.6" customHeight="1">
      <c r="A190" s="255"/>
      <c r="B190" s="18" t="s">
        <v>86</v>
      </c>
      <c r="C190" s="97">
        <f t="shared" si="36"/>
        <v>1.2987012987012988E-2</v>
      </c>
      <c r="D190" s="18">
        <v>231</v>
      </c>
      <c r="E190" s="192" t="s">
        <v>54</v>
      </c>
      <c r="F190" s="18" t="s">
        <v>1</v>
      </c>
      <c r="G190" s="19">
        <v>78750</v>
      </c>
      <c r="H190" s="20">
        <f t="shared" si="37"/>
        <v>236250</v>
      </c>
      <c r="J190" s="111">
        <f>184800+136500</f>
        <v>321300</v>
      </c>
    </row>
    <row r="191" spans="1:10" s="109" customFormat="1" ht="15" customHeight="1">
      <c r="A191" s="255"/>
      <c r="B191" s="18" t="s">
        <v>87</v>
      </c>
      <c r="C191" s="97">
        <f t="shared" si="36"/>
        <v>4.0259740259740266E-2</v>
      </c>
      <c r="D191" s="18">
        <v>231</v>
      </c>
      <c r="E191" s="192" t="s">
        <v>160</v>
      </c>
      <c r="F191" s="18" t="s">
        <v>1</v>
      </c>
      <c r="G191" s="19">
        <v>18900</v>
      </c>
      <c r="H191" s="20">
        <f t="shared" si="37"/>
        <v>175770</v>
      </c>
      <c r="I191" s="114">
        <f>231*17000</f>
        <v>3927000</v>
      </c>
      <c r="J191" s="111">
        <v>136716</v>
      </c>
    </row>
    <row r="192" spans="1:10" s="109" customFormat="1" ht="15" customHeight="1">
      <c r="A192" s="255"/>
      <c r="B192" s="18" t="s">
        <v>88</v>
      </c>
      <c r="C192" s="97">
        <f t="shared" si="36"/>
        <v>4.329004329004329E-4</v>
      </c>
      <c r="D192" s="18">
        <v>231</v>
      </c>
      <c r="E192" s="192" t="s">
        <v>52</v>
      </c>
      <c r="F192" s="18" t="s">
        <v>1</v>
      </c>
      <c r="G192" s="19">
        <v>63000</v>
      </c>
      <c r="H192" s="20">
        <f t="shared" si="37"/>
        <v>6300</v>
      </c>
      <c r="I192" s="117">
        <f>H197-I191</f>
        <v>-0.5</v>
      </c>
      <c r="J192" s="118"/>
    </row>
    <row r="193" spans="1:10" s="109" customFormat="1" ht="15" customHeight="1">
      <c r="A193" s="255"/>
      <c r="B193" s="18" t="s">
        <v>144</v>
      </c>
      <c r="C193" s="74"/>
      <c r="D193" s="18"/>
      <c r="E193" s="192" t="s">
        <v>52</v>
      </c>
      <c r="F193" s="69" t="s">
        <v>1</v>
      </c>
      <c r="G193" s="19">
        <v>47250</v>
      </c>
      <c r="H193" s="20">
        <f t="shared" ref="H193:H195" si="38">E193*G193</f>
        <v>4725</v>
      </c>
      <c r="I193" s="117">
        <f>0.1*232</f>
        <v>23.200000000000003</v>
      </c>
      <c r="J193" s="118"/>
    </row>
    <row r="194" spans="1:10" s="109" customFormat="1" ht="15" customHeight="1">
      <c r="A194" s="255"/>
      <c r="B194" s="45" t="s">
        <v>11</v>
      </c>
      <c r="C194" s="45"/>
      <c r="D194" s="45"/>
      <c r="E194" s="140">
        <v>0.1</v>
      </c>
      <c r="F194" s="45" t="s">
        <v>1</v>
      </c>
      <c r="G194" s="110">
        <v>57750</v>
      </c>
      <c r="H194" s="111">
        <f t="shared" si="38"/>
        <v>5775</v>
      </c>
      <c r="I194" s="117"/>
      <c r="J194" s="118"/>
    </row>
    <row r="195" spans="1:10" s="109" customFormat="1" ht="15" customHeight="1">
      <c r="A195" s="255"/>
      <c r="B195" s="45" t="s">
        <v>89</v>
      </c>
      <c r="C195" s="115"/>
      <c r="D195" s="45"/>
      <c r="E195" s="206" t="s">
        <v>52</v>
      </c>
      <c r="F195" s="45" t="s">
        <v>1</v>
      </c>
      <c r="G195" s="110">
        <v>42000</v>
      </c>
      <c r="H195" s="111">
        <f t="shared" si="38"/>
        <v>4200</v>
      </c>
      <c r="J195" s="118"/>
    </row>
    <row r="196" spans="1:10" s="109" customFormat="1" ht="15" customHeight="1">
      <c r="A196" s="255"/>
      <c r="B196" s="115" t="s">
        <v>25</v>
      </c>
      <c r="C196" s="115"/>
      <c r="D196" s="115"/>
      <c r="E196" s="209"/>
      <c r="F196" s="116"/>
      <c r="G196" s="115"/>
      <c r="H196" s="187">
        <f>130426+562-1</f>
        <v>130987</v>
      </c>
      <c r="J196" s="118"/>
    </row>
    <row r="197" spans="1:10" s="128" customFormat="1" ht="22.2" customHeight="1">
      <c r="A197" s="256"/>
      <c r="B197" s="198"/>
      <c r="C197" s="198"/>
      <c r="D197" s="198"/>
      <c r="E197" s="217"/>
      <c r="F197" s="199"/>
      <c r="G197" s="198"/>
      <c r="H197" s="200">
        <f>SUM(H187:H196)</f>
        <v>3926999.5</v>
      </c>
      <c r="I197" s="127">
        <f>H197-I191</f>
        <v>-0.5</v>
      </c>
    </row>
    <row r="198" spans="1:10" s="109" customFormat="1" ht="15" customHeight="1">
      <c r="A198" s="246" t="s">
        <v>156</v>
      </c>
      <c r="B198" s="103" t="s">
        <v>10</v>
      </c>
      <c r="C198" s="104">
        <f>E198/D198</f>
        <v>0.12008733624454149</v>
      </c>
      <c r="D198" s="45">
        <v>229</v>
      </c>
      <c r="E198" s="152">
        <v>27.5</v>
      </c>
      <c r="F198" s="105" t="s">
        <v>1</v>
      </c>
      <c r="G198" s="106">
        <v>21525</v>
      </c>
      <c r="H198" s="107">
        <f>E198*G198</f>
        <v>591937.5</v>
      </c>
      <c r="I198" s="150">
        <f>H197-I188</f>
        <v>-17000.5</v>
      </c>
    </row>
    <row r="199" spans="1:10" s="109" customFormat="1" ht="15" customHeight="1">
      <c r="A199" s="247"/>
      <c r="B199" s="163" t="s">
        <v>5</v>
      </c>
      <c r="C199" s="45">
        <f>E199/D199</f>
        <v>7.1615720524017462E-2</v>
      </c>
      <c r="D199" s="45">
        <v>229</v>
      </c>
      <c r="E199" s="164">
        <v>16.399999999999999</v>
      </c>
      <c r="F199" s="45" t="s">
        <v>1</v>
      </c>
      <c r="G199" s="110">
        <v>141750</v>
      </c>
      <c r="H199" s="111">
        <f>E199*G199</f>
        <v>2324700</v>
      </c>
      <c r="I199" s="113">
        <f>229*17000</f>
        <v>3893000</v>
      </c>
    </row>
    <row r="200" spans="1:10" s="109" customFormat="1" ht="15" customHeight="1">
      <c r="A200" s="247"/>
      <c r="B200" s="163" t="s">
        <v>42</v>
      </c>
      <c r="C200" s="45">
        <f t="shared" ref="C200:C201" si="39">E200/D200</f>
        <v>3.0567685589519651E-3</v>
      </c>
      <c r="D200" s="45">
        <v>229</v>
      </c>
      <c r="E200" s="156" t="s">
        <v>43</v>
      </c>
      <c r="F200" s="45" t="s">
        <v>1</v>
      </c>
      <c r="G200" s="110">
        <v>304500</v>
      </c>
      <c r="H200" s="111">
        <f t="shared" ref="H200:H204" si="40">E200*G200</f>
        <v>213150</v>
      </c>
    </row>
    <row r="201" spans="1:10" s="109" customFormat="1" ht="15" customHeight="1">
      <c r="A201" s="247"/>
      <c r="B201" s="163" t="s">
        <v>44</v>
      </c>
      <c r="C201" s="45">
        <f t="shared" si="39"/>
        <v>3.0567685589519649E-2</v>
      </c>
      <c r="D201" s="45">
        <v>229</v>
      </c>
      <c r="E201" s="156" t="s">
        <v>117</v>
      </c>
      <c r="F201" s="45" t="s">
        <v>1</v>
      </c>
      <c r="G201" s="110">
        <v>67200</v>
      </c>
      <c r="H201" s="111">
        <f t="shared" si="40"/>
        <v>470400</v>
      </c>
      <c r="I201" s="121">
        <f>I199-H206</f>
        <v>0.5</v>
      </c>
    </row>
    <row r="202" spans="1:10" s="109" customFormat="1" ht="15" customHeight="1">
      <c r="A202" s="247"/>
      <c r="B202" s="45" t="s">
        <v>63</v>
      </c>
      <c r="C202" s="140"/>
      <c r="D202" s="45"/>
      <c r="E202" s="140">
        <v>0.1</v>
      </c>
      <c r="F202" s="45" t="s">
        <v>3</v>
      </c>
      <c r="G202" s="110">
        <v>36750</v>
      </c>
      <c r="H202" s="111">
        <f t="shared" si="40"/>
        <v>3675</v>
      </c>
    </row>
    <row r="203" spans="1:10" s="109" customFormat="1" ht="15" customHeight="1">
      <c r="A203" s="247"/>
      <c r="B203" s="139" t="s">
        <v>122</v>
      </c>
      <c r="C203" s="140"/>
      <c r="D203" s="143"/>
      <c r="E203" s="153">
        <v>8.1999999999999993</v>
      </c>
      <c r="F203" s="45" t="s">
        <v>1</v>
      </c>
      <c r="G203" s="110">
        <v>18900</v>
      </c>
      <c r="H203" s="111">
        <f t="shared" si="40"/>
        <v>154980</v>
      </c>
    </row>
    <row r="204" spans="1:10" s="109" customFormat="1" ht="15" customHeight="1">
      <c r="A204" s="247"/>
      <c r="B204" s="45" t="s">
        <v>11</v>
      </c>
      <c r="C204" s="45"/>
      <c r="D204" s="45"/>
      <c r="E204" s="140">
        <v>0.1</v>
      </c>
      <c r="F204" s="45" t="s">
        <v>1</v>
      </c>
      <c r="G204" s="110">
        <v>57750</v>
      </c>
      <c r="H204" s="111">
        <f t="shared" si="40"/>
        <v>5775</v>
      </c>
    </row>
    <row r="205" spans="1:10" s="109" customFormat="1" ht="15" customHeight="1">
      <c r="A205" s="248"/>
      <c r="B205" s="115" t="s">
        <v>25</v>
      </c>
      <c r="C205" s="115"/>
      <c r="D205" s="115"/>
      <c r="E205" s="209"/>
      <c r="F205" s="116"/>
      <c r="G205" s="115"/>
      <c r="H205" s="111">
        <f>130426-2044</f>
        <v>128382</v>
      </c>
      <c r="I205" s="109">
        <v>130426</v>
      </c>
    </row>
    <row r="206" spans="1:10" s="128" customFormat="1" ht="18.600000000000001" customHeight="1">
      <c r="A206" s="129"/>
      <c r="B206" s="130"/>
      <c r="C206" s="131"/>
      <c r="D206" s="131"/>
      <c r="E206" s="210"/>
      <c r="F206" s="132"/>
      <c r="G206" s="130"/>
      <c r="H206" s="133">
        <f>SUM(H198:H205)</f>
        <v>3892999.5</v>
      </c>
      <c r="I206" s="151">
        <f>H206-I199</f>
        <v>-0.5</v>
      </c>
    </row>
    <row r="207" spans="1:10" s="171" customFormat="1" ht="15" customHeight="1">
      <c r="A207" s="172"/>
      <c r="B207" s="103" t="s">
        <v>20</v>
      </c>
      <c r="C207" s="176">
        <f>E207/D207</f>
        <v>0.1206140350877193</v>
      </c>
      <c r="D207" s="163">
        <v>228</v>
      </c>
      <c r="E207" s="155" t="s">
        <v>123</v>
      </c>
      <c r="F207" s="177" t="s">
        <v>1</v>
      </c>
      <c r="G207" s="178">
        <v>21000</v>
      </c>
      <c r="H207" s="179">
        <f>E207*G207</f>
        <v>577500</v>
      </c>
      <c r="I207" s="171">
        <f>4205303-3893000</f>
        <v>312303</v>
      </c>
    </row>
    <row r="208" spans="1:10" s="171" customFormat="1" ht="15" customHeight="1">
      <c r="A208" s="257" t="s">
        <v>157</v>
      </c>
      <c r="B208" s="177" t="s">
        <v>125</v>
      </c>
      <c r="C208" s="180">
        <f t="shared" ref="C208:C210" si="41">E208/D208</f>
        <v>7.8070175438596498E-2</v>
      </c>
      <c r="D208" s="163">
        <v>228</v>
      </c>
      <c r="E208" s="155" t="s">
        <v>161</v>
      </c>
      <c r="F208" s="163" t="s">
        <v>1</v>
      </c>
      <c r="G208" s="178">
        <v>129150</v>
      </c>
      <c r="H208" s="182">
        <f>G208*E208</f>
        <v>2298870</v>
      </c>
    </row>
    <row r="209" spans="1:9" s="171" customFormat="1" ht="19.2" customHeight="1">
      <c r="A209" s="257"/>
      <c r="B209" s="45" t="s">
        <v>121</v>
      </c>
      <c r="C209" s="124">
        <f t="shared" si="41"/>
        <v>4.3859649122807015E-3</v>
      </c>
      <c r="D209" s="141">
        <v>228</v>
      </c>
      <c r="E209" s="140">
        <v>1</v>
      </c>
      <c r="F209" s="45" t="s">
        <v>3</v>
      </c>
      <c r="G209" s="110">
        <v>141750</v>
      </c>
      <c r="H209" s="111">
        <f t="shared" ref="H209" si="42">E209*G209</f>
        <v>141750</v>
      </c>
      <c r="I209" s="174">
        <f>232*17000</f>
        <v>3944000</v>
      </c>
    </row>
    <row r="210" spans="1:9" s="171" customFormat="1" ht="15" customHeight="1">
      <c r="A210" s="257"/>
      <c r="B210" s="163" t="s">
        <v>6</v>
      </c>
      <c r="C210" s="183">
        <f t="shared" si="41"/>
        <v>0.57456140350877194</v>
      </c>
      <c r="D210" s="163">
        <v>228</v>
      </c>
      <c r="E210" s="156" t="s">
        <v>126</v>
      </c>
      <c r="F210" s="163" t="s">
        <v>1</v>
      </c>
      <c r="G210" s="181">
        <v>3510</v>
      </c>
      <c r="H210" s="182">
        <f>E210*G210</f>
        <v>459810</v>
      </c>
    </row>
    <row r="211" spans="1:9" s="171" customFormat="1" ht="15" customHeight="1">
      <c r="A211" s="257"/>
      <c r="B211" s="163" t="s">
        <v>127</v>
      </c>
      <c r="C211" s="183"/>
      <c r="D211" s="163"/>
      <c r="E211" s="156" t="s">
        <v>129</v>
      </c>
      <c r="F211" s="163" t="s">
        <v>128</v>
      </c>
      <c r="G211" s="181">
        <v>37800</v>
      </c>
      <c r="H211" s="182">
        <f>E211*G211</f>
        <v>75600</v>
      </c>
    </row>
    <row r="212" spans="1:9" s="171" customFormat="1" ht="15" customHeight="1">
      <c r="A212" s="257"/>
      <c r="B212" s="163" t="s">
        <v>130</v>
      </c>
      <c r="C212" s="183"/>
      <c r="D212" s="163"/>
      <c r="E212" s="156" t="s">
        <v>26</v>
      </c>
      <c r="F212" s="163" t="s">
        <v>3</v>
      </c>
      <c r="G212" s="181">
        <v>44280</v>
      </c>
      <c r="H212" s="182">
        <f>E212*G212</f>
        <v>44280</v>
      </c>
    </row>
    <row r="213" spans="1:9" s="171" customFormat="1" ht="15" customHeight="1">
      <c r="A213" s="257"/>
      <c r="B213" s="163" t="s">
        <v>131</v>
      </c>
      <c r="C213" s="183"/>
      <c r="D213" s="163"/>
      <c r="E213" s="156" t="s">
        <v>162</v>
      </c>
      <c r="F213" s="163" t="s">
        <v>1</v>
      </c>
      <c r="G213" s="181">
        <v>24150</v>
      </c>
      <c r="H213" s="182">
        <f t="shared" ref="H213:H215" si="43">E213*G213</f>
        <v>132825</v>
      </c>
    </row>
    <row r="214" spans="1:9" s="171" customFormat="1" ht="15" customHeight="1">
      <c r="A214" s="257"/>
      <c r="B214" s="163" t="s">
        <v>47</v>
      </c>
      <c r="C214" s="180"/>
      <c r="D214" s="163"/>
      <c r="E214" s="156" t="s">
        <v>52</v>
      </c>
      <c r="F214" s="163" t="s">
        <v>3</v>
      </c>
      <c r="G214" s="110">
        <v>36750</v>
      </c>
      <c r="H214" s="111">
        <f t="shared" si="43"/>
        <v>3675</v>
      </c>
    </row>
    <row r="215" spans="1:9" s="171" customFormat="1" ht="15" customHeight="1">
      <c r="A215" s="257"/>
      <c r="B215" s="163" t="s">
        <v>11</v>
      </c>
      <c r="C215" s="164"/>
      <c r="D215" s="163"/>
      <c r="E215" s="215">
        <v>0.2</v>
      </c>
      <c r="F215" s="163" t="s">
        <v>1</v>
      </c>
      <c r="G215" s="110">
        <v>57750</v>
      </c>
      <c r="H215" s="111">
        <f t="shared" si="43"/>
        <v>11550</v>
      </c>
      <c r="I215" s="175">
        <f>228*17000</f>
        <v>3876000</v>
      </c>
    </row>
    <row r="216" spans="1:9" s="171" customFormat="1" ht="15" customHeight="1">
      <c r="A216" s="257"/>
      <c r="B216" s="184" t="s">
        <v>25</v>
      </c>
      <c r="C216" s="184"/>
      <c r="D216" s="184"/>
      <c r="E216" s="213"/>
      <c r="F216" s="186"/>
      <c r="G216" s="184"/>
      <c r="H216" s="187">
        <f>130426+286</f>
        <v>130712</v>
      </c>
    </row>
    <row r="217" spans="1:9" s="120" customFormat="1" ht="20.399999999999999" customHeight="1">
      <c r="A217" s="166"/>
      <c r="B217" s="21"/>
      <c r="C217" s="21"/>
      <c r="D217" s="21"/>
      <c r="E217" s="212"/>
      <c r="F217" s="22"/>
      <c r="G217" s="21"/>
      <c r="H217" s="5">
        <f>SUM(H207:H216)</f>
        <v>3876572</v>
      </c>
      <c r="I217" s="165">
        <f>H217-I215</f>
        <v>572</v>
      </c>
    </row>
    <row r="218" spans="1:9" s="120" customFormat="1" ht="20.399999999999999" customHeight="1">
      <c r="A218" s="250" t="s">
        <v>158</v>
      </c>
      <c r="B218" s="105" t="s">
        <v>20</v>
      </c>
      <c r="C218" s="122">
        <f>E218/D218</f>
        <v>0.1206140350877193</v>
      </c>
      <c r="D218" s="163">
        <v>228</v>
      </c>
      <c r="E218" s="154" t="s">
        <v>123</v>
      </c>
      <c r="F218" s="105" t="s">
        <v>1</v>
      </c>
      <c r="G218" s="123">
        <v>21000</v>
      </c>
      <c r="H218" s="107">
        <f>E218*G218</f>
        <v>577500</v>
      </c>
      <c r="I218" s="165"/>
    </row>
    <row r="219" spans="1:9" s="120" customFormat="1" ht="20.399999999999999" customHeight="1">
      <c r="A219" s="251"/>
      <c r="B219" s="45" t="s">
        <v>91</v>
      </c>
      <c r="C219" s="124">
        <f t="shared" ref="C219:C220" si="44">E219/D219</f>
        <v>6.9736842105263153E-2</v>
      </c>
      <c r="D219" s="163">
        <v>228</v>
      </c>
      <c r="E219" s="140">
        <v>15.9</v>
      </c>
      <c r="F219" s="45" t="s">
        <v>1</v>
      </c>
      <c r="G219" s="110">
        <v>140700</v>
      </c>
      <c r="H219" s="111">
        <f>E219*G219-1892</f>
        <v>2235238</v>
      </c>
      <c r="I219" s="165"/>
    </row>
    <row r="220" spans="1:9" s="120" customFormat="1" ht="20.399999999999999" customHeight="1">
      <c r="A220" s="251"/>
      <c r="B220" s="45" t="s">
        <v>116</v>
      </c>
      <c r="C220" s="125">
        <f t="shared" si="44"/>
        <v>3.2017543859649125E-2</v>
      </c>
      <c r="D220" s="141">
        <v>228</v>
      </c>
      <c r="E220" s="192" t="s">
        <v>120</v>
      </c>
      <c r="F220" s="45" t="s">
        <v>1</v>
      </c>
      <c r="G220" s="110">
        <v>67200</v>
      </c>
      <c r="H220" s="111">
        <f>E220*G220</f>
        <v>490560</v>
      </c>
      <c r="I220" s="165"/>
    </row>
    <row r="221" spans="1:9" s="120" customFormat="1" ht="20.399999999999999" customHeight="1">
      <c r="A221" s="251"/>
      <c r="B221" s="45" t="s">
        <v>86</v>
      </c>
      <c r="C221" s="125"/>
      <c r="D221" s="163">
        <v>228</v>
      </c>
      <c r="E221" s="206" t="s">
        <v>54</v>
      </c>
      <c r="F221" s="45" t="s">
        <v>1</v>
      </c>
      <c r="G221" s="110">
        <v>78750</v>
      </c>
      <c r="H221" s="111">
        <f t="shared" ref="H221:H225" si="45">E221*G221</f>
        <v>236250</v>
      </c>
      <c r="I221" s="165">
        <f>229*17000</f>
        <v>3893000</v>
      </c>
    </row>
    <row r="222" spans="1:9" s="120" customFormat="1" ht="20.399999999999999" customHeight="1">
      <c r="A222" s="251"/>
      <c r="B222" s="45" t="s">
        <v>87</v>
      </c>
      <c r="C222" s="125"/>
      <c r="D222" s="141">
        <v>228</v>
      </c>
      <c r="E222" s="206" t="s">
        <v>152</v>
      </c>
      <c r="F222" s="45" t="s">
        <v>3</v>
      </c>
      <c r="G222" s="110">
        <v>20478</v>
      </c>
      <c r="H222" s="111">
        <f t="shared" si="45"/>
        <v>204780</v>
      </c>
      <c r="I222" s="165"/>
    </row>
    <row r="223" spans="1:9" s="120" customFormat="1" ht="20.399999999999999" customHeight="1">
      <c r="A223" s="251"/>
      <c r="B223" s="45" t="s">
        <v>88</v>
      </c>
      <c r="C223" s="45"/>
      <c r="D223" s="45"/>
      <c r="E223" s="206" t="s">
        <v>52</v>
      </c>
      <c r="F223" s="45" t="s">
        <v>1</v>
      </c>
      <c r="G223" s="110">
        <v>63000</v>
      </c>
      <c r="H223" s="111">
        <f t="shared" si="45"/>
        <v>6300</v>
      </c>
      <c r="I223" s="165"/>
    </row>
    <row r="224" spans="1:9" s="120" customFormat="1" ht="20.399999999999999" customHeight="1">
      <c r="A224" s="251"/>
      <c r="B224" s="45" t="s">
        <v>80</v>
      </c>
      <c r="C224" s="126"/>
      <c r="D224" s="45"/>
      <c r="E224" s="206" t="s">
        <v>52</v>
      </c>
      <c r="F224" s="45" t="s">
        <v>1</v>
      </c>
      <c r="G224" s="110">
        <v>60900</v>
      </c>
      <c r="H224" s="111">
        <f t="shared" si="45"/>
        <v>6090</v>
      </c>
      <c r="I224" s="165">
        <f>H227-I221</f>
        <v>0</v>
      </c>
    </row>
    <row r="225" spans="1:9" s="120" customFormat="1" ht="20.399999999999999" customHeight="1">
      <c r="A225" s="251"/>
      <c r="B225" s="45" t="s">
        <v>89</v>
      </c>
      <c r="C225" s="115"/>
      <c r="D225" s="45"/>
      <c r="E225" s="206" t="s">
        <v>52</v>
      </c>
      <c r="F225" s="45" t="s">
        <v>1</v>
      </c>
      <c r="G225" s="110">
        <v>42000</v>
      </c>
      <c r="H225" s="111">
        <f t="shared" si="45"/>
        <v>4200</v>
      </c>
      <c r="I225" s="165"/>
    </row>
    <row r="226" spans="1:9" s="120" customFormat="1" ht="20.399999999999999" customHeight="1">
      <c r="A226" s="194"/>
      <c r="B226" s="184" t="s">
        <v>25</v>
      </c>
      <c r="C226" s="184"/>
      <c r="D226" s="184"/>
      <c r="E226" s="213"/>
      <c r="F226" s="186"/>
      <c r="G226" s="184"/>
      <c r="H226" s="187">
        <f>130426+1288+368</f>
        <v>132082</v>
      </c>
      <c r="I226" s="165"/>
    </row>
    <row r="227" spans="1:9" s="120" customFormat="1" ht="20.399999999999999" customHeight="1">
      <c r="A227" s="166"/>
      <c r="B227" s="195"/>
      <c r="C227" s="167"/>
      <c r="D227" s="195"/>
      <c r="E227" s="214"/>
      <c r="F227" s="195"/>
      <c r="G227" s="196"/>
      <c r="H227" s="197">
        <f>SUM(H218:H226)</f>
        <v>3893000</v>
      </c>
      <c r="I227" s="165">
        <f>H227-I221</f>
        <v>0</v>
      </c>
    </row>
    <row r="228" spans="1:9" s="120" customFormat="1" ht="15" customHeight="1">
      <c r="A228" s="243" t="s">
        <v>159</v>
      </c>
      <c r="B228" s="103" t="s">
        <v>10</v>
      </c>
      <c r="C228" s="104">
        <f>E228/D228</f>
        <v>0.1206140350877193</v>
      </c>
      <c r="D228" s="45">
        <v>228</v>
      </c>
      <c r="E228" s="152">
        <v>27.5</v>
      </c>
      <c r="F228" s="105" t="s">
        <v>1</v>
      </c>
      <c r="G228" s="106">
        <v>21000</v>
      </c>
      <c r="H228" s="107">
        <f>E228*G228</f>
        <v>577500</v>
      </c>
      <c r="I228" s="189"/>
    </row>
    <row r="229" spans="1:9" s="120" customFormat="1" ht="15" customHeight="1">
      <c r="A229" s="243"/>
      <c r="B229" s="45" t="s">
        <v>48</v>
      </c>
      <c r="C229" s="45">
        <f>E229/D229</f>
        <v>5.8333333333333334E-2</v>
      </c>
      <c r="D229" s="45">
        <v>228</v>
      </c>
      <c r="E229" s="140">
        <v>13.3</v>
      </c>
      <c r="F229" s="45" t="s">
        <v>1</v>
      </c>
      <c r="G229" s="110">
        <v>169560</v>
      </c>
      <c r="H229" s="111">
        <f>E229*G229</f>
        <v>2255148</v>
      </c>
    </row>
    <row r="230" spans="1:9" s="120" customFormat="1" ht="15" customHeight="1">
      <c r="A230" s="243"/>
      <c r="B230" s="45" t="s">
        <v>49</v>
      </c>
      <c r="C230" s="45">
        <f t="shared" ref="C230:C232" si="46">E230/D230</f>
        <v>0.57456140350877194</v>
      </c>
      <c r="D230" s="45">
        <v>228</v>
      </c>
      <c r="E230" s="140">
        <v>131</v>
      </c>
      <c r="F230" s="45" t="s">
        <v>1</v>
      </c>
      <c r="G230" s="110">
        <v>3456</v>
      </c>
      <c r="H230" s="111">
        <f t="shared" ref="H230:H235" si="47">E230*G230</f>
        <v>452736</v>
      </c>
    </row>
    <row r="231" spans="1:9" s="120" customFormat="1" ht="15" customHeight="1">
      <c r="A231" s="243"/>
      <c r="B231" s="45" t="s">
        <v>50</v>
      </c>
      <c r="C231" s="45">
        <f t="shared" si="46"/>
        <v>2.7192982456140352E-2</v>
      </c>
      <c r="D231" s="45">
        <v>228</v>
      </c>
      <c r="E231" s="140">
        <v>6.2</v>
      </c>
      <c r="F231" s="45" t="s">
        <v>1</v>
      </c>
      <c r="G231" s="110">
        <v>23100</v>
      </c>
      <c r="H231" s="111">
        <f t="shared" si="47"/>
        <v>143220</v>
      </c>
    </row>
    <row r="232" spans="1:9" s="120" customFormat="1" ht="15" customHeight="1">
      <c r="A232" s="188"/>
      <c r="B232" s="45" t="s">
        <v>121</v>
      </c>
      <c r="C232" s="124">
        <f t="shared" si="46"/>
        <v>4.3859649122807015E-3</v>
      </c>
      <c r="D232" s="45">
        <v>228</v>
      </c>
      <c r="E232" s="140">
        <v>1</v>
      </c>
      <c r="F232" s="45" t="s">
        <v>3</v>
      </c>
      <c r="G232" s="110">
        <v>141750</v>
      </c>
      <c r="H232" s="111">
        <f t="shared" si="47"/>
        <v>141750</v>
      </c>
    </row>
    <row r="233" spans="1:9" s="120" customFormat="1" ht="15" customHeight="1">
      <c r="A233" s="188"/>
      <c r="B233" s="45" t="s">
        <v>63</v>
      </c>
      <c r="C233" s="140"/>
      <c r="D233" s="45"/>
      <c r="E233" s="140">
        <v>0.1</v>
      </c>
      <c r="F233" s="45" t="s">
        <v>3</v>
      </c>
      <c r="G233" s="110">
        <v>36750</v>
      </c>
      <c r="H233" s="111">
        <f t="shared" si="47"/>
        <v>3675</v>
      </c>
    </row>
    <row r="234" spans="1:9" s="120" customFormat="1" ht="15" customHeight="1">
      <c r="A234" s="188"/>
      <c r="B234" s="139" t="s">
        <v>122</v>
      </c>
      <c r="C234" s="140"/>
      <c r="D234" s="143"/>
      <c r="E234" s="153">
        <v>8.8000000000000007</v>
      </c>
      <c r="F234" s="45" t="s">
        <v>1</v>
      </c>
      <c r="G234" s="110">
        <v>18900</v>
      </c>
      <c r="H234" s="111">
        <f t="shared" si="47"/>
        <v>166320</v>
      </c>
    </row>
    <row r="235" spans="1:9" s="120" customFormat="1" ht="15" customHeight="1">
      <c r="A235" s="188"/>
      <c r="B235" s="45" t="s">
        <v>11</v>
      </c>
      <c r="C235" s="45"/>
      <c r="D235" s="45"/>
      <c r="E235" s="140">
        <v>0.1</v>
      </c>
      <c r="F235" s="45" t="s">
        <v>1</v>
      </c>
      <c r="G235" s="110">
        <v>57750</v>
      </c>
      <c r="H235" s="111">
        <f t="shared" si="47"/>
        <v>5775</v>
      </c>
    </row>
    <row r="236" spans="1:9" s="120" customFormat="1" ht="15" customHeight="1">
      <c r="A236" s="188"/>
      <c r="B236" s="115" t="s">
        <v>25</v>
      </c>
      <c r="C236" s="115"/>
      <c r="D236" s="115"/>
      <c r="E236" s="209"/>
      <c r="F236" s="116"/>
      <c r="G236" s="115"/>
      <c r="H236" s="187">
        <f>130426-550</f>
        <v>129876</v>
      </c>
    </row>
    <row r="237" spans="1:9" s="134" customFormat="1" ht="19.8" customHeight="1">
      <c r="A237" s="168"/>
      <c r="B237" s="148"/>
      <c r="C237" s="148"/>
      <c r="D237" s="148"/>
      <c r="E237" s="157"/>
      <c r="F237" s="169"/>
      <c r="G237" s="148"/>
      <c r="H237" s="170">
        <f>SUM(H228:H236)</f>
        <v>3876000</v>
      </c>
      <c r="I237" s="151" t="e">
        <f>#REF!-H237</f>
        <v>#REF!</v>
      </c>
    </row>
    <row r="238" spans="1:9">
      <c r="A238" s="100"/>
      <c r="B238" s="100"/>
      <c r="C238" s="100"/>
      <c r="D238" s="100"/>
      <c r="E238" s="216"/>
    </row>
    <row r="239" spans="1:9" ht="18">
      <c r="A239" s="244" t="s">
        <v>29</v>
      </c>
      <c r="B239" s="244"/>
      <c r="C239" s="244" t="s">
        <v>30</v>
      </c>
      <c r="D239" s="244"/>
      <c r="E239" s="244"/>
      <c r="F239" s="1"/>
      <c r="G239" s="244" t="s">
        <v>31</v>
      </c>
      <c r="H239" s="244"/>
    </row>
    <row r="255" spans="1:9" ht="15.6">
      <c r="A255" s="6" t="s">
        <v>0</v>
      </c>
      <c r="B255" s="6"/>
    </row>
    <row r="256" spans="1:9" s="102" customFormat="1" ht="16.8" customHeight="1">
      <c r="A256" s="244" t="s">
        <v>151</v>
      </c>
      <c r="B256" s="244"/>
      <c r="C256" s="244"/>
      <c r="D256" s="244"/>
      <c r="E256" s="244"/>
      <c r="F256" s="244"/>
      <c r="G256" s="244"/>
      <c r="H256" s="244"/>
      <c r="I256" s="149">
        <f>1996200/15</f>
        <v>133080</v>
      </c>
    </row>
    <row r="257" spans="1:10" s="102" customFormat="1" ht="16.8" customHeight="1">
      <c r="A257" s="101"/>
      <c r="B257" s="245" t="s">
        <v>143</v>
      </c>
      <c r="C257" s="245"/>
      <c r="D257" s="245"/>
      <c r="E257" s="245"/>
      <c r="F257" s="245"/>
      <c r="G257" s="245"/>
      <c r="H257" s="245"/>
    </row>
    <row r="258" spans="1:10" ht="15" customHeight="1">
      <c r="A258" s="7" t="s">
        <v>13</v>
      </c>
      <c r="B258" s="8" t="s">
        <v>14</v>
      </c>
      <c r="C258" s="9" t="s">
        <v>15</v>
      </c>
      <c r="D258" s="10" t="s">
        <v>16</v>
      </c>
      <c r="E258" s="7" t="s">
        <v>17</v>
      </c>
      <c r="F258" s="11" t="s">
        <v>4</v>
      </c>
      <c r="G258" s="7" t="s">
        <v>18</v>
      </c>
      <c r="H258" s="7" t="s">
        <v>19</v>
      </c>
      <c r="J258" s="14" t="e">
        <f>#REF!*#REF!</f>
        <v>#REF!</v>
      </c>
    </row>
    <row r="259" spans="1:10" s="109" customFormat="1" ht="15" customHeight="1">
      <c r="A259" s="253" t="s">
        <v>145</v>
      </c>
      <c r="B259" s="94" t="s">
        <v>10</v>
      </c>
      <c r="C259" s="96">
        <f>E259/D259</f>
        <v>0.11982758620689656</v>
      </c>
      <c r="D259" s="12">
        <v>232</v>
      </c>
      <c r="E259" s="158">
        <v>27.8</v>
      </c>
      <c r="F259" s="12" t="s">
        <v>1</v>
      </c>
      <c r="G259" s="95">
        <v>21525</v>
      </c>
      <c r="H259" s="14">
        <f>G259*E259</f>
        <v>598395</v>
      </c>
      <c r="I259" s="108"/>
      <c r="J259" s="111" t="e">
        <f>#REF!*#REF!</f>
        <v>#REF!</v>
      </c>
    </row>
    <row r="260" spans="1:10" s="109" customFormat="1" ht="15" customHeight="1">
      <c r="A260" s="254"/>
      <c r="B260" s="18" t="s">
        <v>115</v>
      </c>
      <c r="C260" s="97">
        <f>E260/D260</f>
        <v>0.10948275862068965</v>
      </c>
      <c r="D260" s="18">
        <v>232</v>
      </c>
      <c r="E260" s="49">
        <v>25.4</v>
      </c>
      <c r="F260" s="18" t="s">
        <v>1</v>
      </c>
      <c r="G260" s="19">
        <v>86100</v>
      </c>
      <c r="H260" s="20">
        <f>G260*E260</f>
        <v>2186940</v>
      </c>
      <c r="I260" s="114">
        <f>232*17000</f>
        <v>3944000</v>
      </c>
      <c r="J260" s="111" t="e">
        <f>#REF!*#REF!</f>
        <v>#REF!</v>
      </c>
    </row>
    <row r="261" spans="1:10" s="109" customFormat="1" ht="19.2" customHeight="1">
      <c r="A261" s="255"/>
      <c r="B261" s="18" t="s">
        <v>116</v>
      </c>
      <c r="C261" s="97">
        <f t="shared" ref="C261:C264" si="48">E261/D261</f>
        <v>3.7499999999999999E-2</v>
      </c>
      <c r="D261" s="18">
        <v>232</v>
      </c>
      <c r="E261" s="49">
        <v>8.6999999999999993</v>
      </c>
      <c r="F261" s="18" t="s">
        <v>1</v>
      </c>
      <c r="G261" s="19">
        <v>67200</v>
      </c>
      <c r="H261" s="20">
        <f t="shared" ref="H261:H264" si="49">G261*E261</f>
        <v>584640</v>
      </c>
      <c r="I261" s="117">
        <f>I260-H268</f>
        <v>0</v>
      </c>
      <c r="J261" s="111" t="e">
        <f>#REF!*#REF!</f>
        <v>#REF!</v>
      </c>
    </row>
    <row r="262" spans="1:10" s="109" customFormat="1" ht="21.6" customHeight="1">
      <c r="A262" s="255"/>
      <c r="B262" s="18" t="s">
        <v>86</v>
      </c>
      <c r="C262" s="97">
        <f t="shared" si="48"/>
        <v>1.2931034482758621E-2</v>
      </c>
      <c r="D262" s="18">
        <v>232</v>
      </c>
      <c r="E262" s="192" t="s">
        <v>54</v>
      </c>
      <c r="F262" s="18" t="s">
        <v>1</v>
      </c>
      <c r="G262" s="19">
        <v>78750</v>
      </c>
      <c r="H262" s="20">
        <f t="shared" si="49"/>
        <v>236250</v>
      </c>
      <c r="J262" s="111">
        <f>184800+136500</f>
        <v>321300</v>
      </c>
    </row>
    <row r="263" spans="1:10" s="109" customFormat="1" ht="15" customHeight="1">
      <c r="A263" s="255"/>
      <c r="B263" s="18" t="s">
        <v>87</v>
      </c>
      <c r="C263" s="97">
        <f t="shared" si="48"/>
        <v>4.3534482758620686E-2</v>
      </c>
      <c r="D263" s="18">
        <v>232</v>
      </c>
      <c r="E263" s="192" t="s">
        <v>62</v>
      </c>
      <c r="F263" s="18" t="s">
        <v>1</v>
      </c>
      <c r="G263" s="19">
        <v>18900</v>
      </c>
      <c r="H263" s="20">
        <f t="shared" si="49"/>
        <v>190890</v>
      </c>
      <c r="I263" s="114">
        <f>233*17000</f>
        <v>3961000</v>
      </c>
      <c r="J263" s="111">
        <v>136716</v>
      </c>
    </row>
    <row r="264" spans="1:10" s="109" customFormat="1" ht="15" customHeight="1">
      <c r="A264" s="255"/>
      <c r="B264" s="18" t="s">
        <v>88</v>
      </c>
      <c r="C264" s="97">
        <f t="shared" si="48"/>
        <v>4.3103448275862074E-4</v>
      </c>
      <c r="D264" s="18">
        <v>232</v>
      </c>
      <c r="E264" s="192" t="s">
        <v>52</v>
      </c>
      <c r="F264" s="18" t="s">
        <v>1</v>
      </c>
      <c r="G264" s="19">
        <v>63000</v>
      </c>
      <c r="H264" s="20">
        <f t="shared" si="49"/>
        <v>6300</v>
      </c>
      <c r="I264" s="117">
        <f>H268-I263</f>
        <v>-17000</v>
      </c>
      <c r="J264" s="118"/>
    </row>
    <row r="265" spans="1:10" s="109" customFormat="1" ht="15" customHeight="1">
      <c r="A265" s="255"/>
      <c r="B265" s="18" t="s">
        <v>144</v>
      </c>
      <c r="C265" s="74"/>
      <c r="D265" s="18"/>
      <c r="E265" s="192" t="s">
        <v>52</v>
      </c>
      <c r="F265" s="69" t="s">
        <v>1</v>
      </c>
      <c r="G265" s="19">
        <v>47250</v>
      </c>
      <c r="H265" s="20">
        <f t="shared" ref="H265" si="50">E265*G265</f>
        <v>4725</v>
      </c>
      <c r="I265" s="117">
        <f>0.1*232</f>
        <v>23.200000000000003</v>
      </c>
      <c r="J265" s="118"/>
    </row>
    <row r="266" spans="1:10" s="109" customFormat="1" ht="15" customHeight="1">
      <c r="A266" s="255"/>
      <c r="B266" s="45" t="s">
        <v>11</v>
      </c>
      <c r="C266" s="45"/>
      <c r="D266" s="45"/>
      <c r="E266" s="140">
        <v>0.1</v>
      </c>
      <c r="F266" s="45" t="s">
        <v>1</v>
      </c>
      <c r="G266" s="110">
        <v>57750</v>
      </c>
      <c r="H266" s="111">
        <f t="shared" ref="H266" si="51">E266*G266</f>
        <v>5775</v>
      </c>
      <c r="J266" s="118"/>
    </row>
    <row r="267" spans="1:10" s="109" customFormat="1" ht="15" customHeight="1">
      <c r="A267" s="255"/>
      <c r="B267" s="115" t="s">
        <v>25</v>
      </c>
      <c r="C267" s="115"/>
      <c r="D267" s="115"/>
      <c r="E267" s="209"/>
      <c r="F267" s="116"/>
      <c r="G267" s="115"/>
      <c r="H267" s="187">
        <f>130426-341</f>
        <v>130085</v>
      </c>
      <c r="J267" s="118"/>
    </row>
    <row r="268" spans="1:10" s="128" customFormat="1" ht="22.2" customHeight="1">
      <c r="A268" s="256"/>
      <c r="B268" s="198"/>
      <c r="C268" s="198"/>
      <c r="D268" s="198"/>
      <c r="E268" s="217"/>
      <c r="F268" s="199"/>
      <c r="G268" s="198"/>
      <c r="H268" s="200">
        <f>SUM(H259:H267)</f>
        <v>3944000</v>
      </c>
      <c r="I268" s="127">
        <f>I263-H268</f>
        <v>17000</v>
      </c>
    </row>
    <row r="269" spans="1:10" s="109" customFormat="1" ht="15" customHeight="1">
      <c r="A269" s="246" t="s">
        <v>146</v>
      </c>
      <c r="B269" s="103" t="s">
        <v>10</v>
      </c>
      <c r="C269" s="104">
        <f>E269/D269</f>
        <v>0.11931330472103005</v>
      </c>
      <c r="D269" s="45">
        <v>233</v>
      </c>
      <c r="E269" s="152">
        <v>27.8</v>
      </c>
      <c r="F269" s="105" t="s">
        <v>1</v>
      </c>
      <c r="G269" s="106">
        <v>21525</v>
      </c>
      <c r="H269" s="107">
        <f>E269*G269</f>
        <v>598395</v>
      </c>
      <c r="I269" s="150">
        <f>H268-I260</f>
        <v>0</v>
      </c>
    </row>
    <row r="270" spans="1:10" s="109" customFormat="1" ht="15" customHeight="1">
      <c r="A270" s="247"/>
      <c r="B270" s="45" t="s">
        <v>48</v>
      </c>
      <c r="C270" s="45">
        <f>E270/D270</f>
        <v>5.8798283261802572E-2</v>
      </c>
      <c r="D270" s="45">
        <v>233</v>
      </c>
      <c r="E270" s="140">
        <v>13.7</v>
      </c>
      <c r="F270" s="45" t="s">
        <v>1</v>
      </c>
      <c r="G270" s="110">
        <v>169560</v>
      </c>
      <c r="H270" s="111">
        <f>E270*G270</f>
        <v>2322972</v>
      </c>
      <c r="I270" s="113">
        <f>232*17000</f>
        <v>3944000</v>
      </c>
    </row>
    <row r="271" spans="1:10" s="109" customFormat="1" ht="15" customHeight="1">
      <c r="A271" s="247"/>
      <c r="B271" s="45" t="s">
        <v>49</v>
      </c>
      <c r="C271" s="45">
        <f t="shared" ref="C271:C273" si="52">E271/D271</f>
        <v>0.5622317596566524</v>
      </c>
      <c r="D271" s="45">
        <v>233</v>
      </c>
      <c r="E271" s="140">
        <v>131</v>
      </c>
      <c r="F271" s="45" t="s">
        <v>1</v>
      </c>
      <c r="G271" s="110">
        <v>3456</v>
      </c>
      <c r="H271" s="111">
        <f t="shared" ref="H271:H276" si="53">E271*G271</f>
        <v>452736</v>
      </c>
    </row>
    <row r="272" spans="1:10" s="109" customFormat="1" ht="15" customHeight="1">
      <c r="A272" s="247"/>
      <c r="B272" s="45" t="s">
        <v>50</v>
      </c>
      <c r="C272" s="45">
        <f t="shared" si="52"/>
        <v>2.6609442060085836E-2</v>
      </c>
      <c r="D272" s="45">
        <v>233</v>
      </c>
      <c r="E272" s="140">
        <v>6.2</v>
      </c>
      <c r="F272" s="45" t="s">
        <v>1</v>
      </c>
      <c r="G272" s="110">
        <v>23100</v>
      </c>
      <c r="H272" s="111">
        <f t="shared" si="53"/>
        <v>143220</v>
      </c>
      <c r="I272" s="121">
        <f>I270-H278</f>
        <v>0</v>
      </c>
    </row>
    <row r="273" spans="1:9" s="109" customFormat="1" ht="15" customHeight="1">
      <c r="A273" s="247"/>
      <c r="B273" s="45" t="s">
        <v>121</v>
      </c>
      <c r="C273" s="124">
        <f t="shared" si="52"/>
        <v>4.2918454935622317E-3</v>
      </c>
      <c r="D273" s="45">
        <v>233</v>
      </c>
      <c r="E273" s="140">
        <v>1</v>
      </c>
      <c r="F273" s="45" t="s">
        <v>3</v>
      </c>
      <c r="G273" s="110">
        <v>141750</v>
      </c>
      <c r="H273" s="111">
        <f t="shared" si="53"/>
        <v>141750</v>
      </c>
    </row>
    <row r="274" spans="1:9" s="109" customFormat="1" ht="15" customHeight="1">
      <c r="A274" s="247"/>
      <c r="B274" s="45" t="s">
        <v>63</v>
      </c>
      <c r="C274" s="140"/>
      <c r="D274" s="45"/>
      <c r="E274" s="140">
        <v>0.1</v>
      </c>
      <c r="F274" s="45" t="s">
        <v>3</v>
      </c>
      <c r="G274" s="110">
        <v>36750</v>
      </c>
      <c r="H274" s="111">
        <f t="shared" si="53"/>
        <v>3675</v>
      </c>
    </row>
    <row r="275" spans="1:9" s="109" customFormat="1" ht="15" customHeight="1">
      <c r="A275" s="247"/>
      <c r="B275" s="139" t="s">
        <v>122</v>
      </c>
      <c r="C275" s="140"/>
      <c r="D275" s="143"/>
      <c r="E275" s="153">
        <v>7.7</v>
      </c>
      <c r="F275" s="45" t="s">
        <v>1</v>
      </c>
      <c r="G275" s="110">
        <v>18900</v>
      </c>
      <c r="H275" s="111">
        <f t="shared" si="53"/>
        <v>145530</v>
      </c>
    </row>
    <row r="276" spans="1:9" s="109" customFormat="1" ht="15" customHeight="1">
      <c r="A276" s="247"/>
      <c r="B276" s="45" t="s">
        <v>11</v>
      </c>
      <c r="C276" s="45"/>
      <c r="D276" s="45"/>
      <c r="E276" s="140">
        <v>0.1</v>
      </c>
      <c r="F276" s="45" t="s">
        <v>1</v>
      </c>
      <c r="G276" s="110">
        <v>57750</v>
      </c>
      <c r="H276" s="111">
        <f t="shared" si="53"/>
        <v>5775</v>
      </c>
    </row>
    <row r="277" spans="1:9" s="109" customFormat="1" ht="15" customHeight="1">
      <c r="A277" s="248"/>
      <c r="B277" s="115" t="s">
        <v>25</v>
      </c>
      <c r="C277" s="115"/>
      <c r="D277" s="115"/>
      <c r="E277" s="209"/>
      <c r="F277" s="116"/>
      <c r="G277" s="115"/>
      <c r="H277" s="187">
        <f>130426-479</f>
        <v>129947</v>
      </c>
      <c r="I277" s="109">
        <v>130426</v>
      </c>
    </row>
    <row r="278" spans="1:9" s="128" customFormat="1" ht="18.600000000000001" customHeight="1">
      <c r="A278" s="129"/>
      <c r="B278" s="130"/>
      <c r="C278" s="131"/>
      <c r="D278" s="131"/>
      <c r="E278" s="210"/>
      <c r="F278" s="132"/>
      <c r="G278" s="130"/>
      <c r="H278" s="133">
        <f>SUM(H269:H277)</f>
        <v>3944000</v>
      </c>
      <c r="I278" s="151">
        <f>I270-H278</f>
        <v>0</v>
      </c>
    </row>
    <row r="279" spans="1:9" s="171" customFormat="1" ht="15" customHeight="1">
      <c r="A279" s="172"/>
      <c r="B279" s="103" t="s">
        <v>20</v>
      </c>
      <c r="C279" s="176">
        <f>E279/D279</f>
        <v>0.11931330472103005</v>
      </c>
      <c r="D279" s="163">
        <v>233</v>
      </c>
      <c r="E279" s="155" t="s">
        <v>112</v>
      </c>
      <c r="F279" s="177" t="s">
        <v>1</v>
      </c>
      <c r="G279" s="178">
        <v>21525</v>
      </c>
      <c r="H279" s="179">
        <f>E279*G279</f>
        <v>598395</v>
      </c>
    </row>
    <row r="280" spans="1:9" s="171" customFormat="1" ht="15" customHeight="1">
      <c r="A280" s="257" t="s">
        <v>147</v>
      </c>
      <c r="B280" s="177" t="s">
        <v>125</v>
      </c>
      <c r="C280" s="180">
        <f t="shared" ref="C280:C282" si="54">E280/D280</f>
        <v>7.8969957081545056E-2</v>
      </c>
      <c r="D280" s="163">
        <v>233</v>
      </c>
      <c r="E280" s="155" t="s">
        <v>153</v>
      </c>
      <c r="F280" s="163" t="s">
        <v>1</v>
      </c>
      <c r="G280" s="178">
        <v>129150</v>
      </c>
      <c r="H280" s="182">
        <f>G280*E280</f>
        <v>2376360</v>
      </c>
    </row>
    <row r="281" spans="1:9" s="171" customFormat="1" ht="19.2" customHeight="1">
      <c r="A281" s="257"/>
      <c r="B281" s="45" t="s">
        <v>121</v>
      </c>
      <c r="C281" s="124">
        <f t="shared" si="54"/>
        <v>4.2918454935622317E-3</v>
      </c>
      <c r="D281" s="141">
        <v>233</v>
      </c>
      <c r="E281" s="140">
        <v>1</v>
      </c>
      <c r="F281" s="45" t="s">
        <v>3</v>
      </c>
      <c r="G281" s="110">
        <v>141750</v>
      </c>
      <c r="H281" s="111">
        <f t="shared" ref="H281" si="55">E281*G281</f>
        <v>141750</v>
      </c>
      <c r="I281" s="174">
        <f>232*17000</f>
        <v>3944000</v>
      </c>
    </row>
    <row r="282" spans="1:9" s="171" customFormat="1" ht="15" customHeight="1">
      <c r="A282" s="257"/>
      <c r="B282" s="163" t="s">
        <v>6</v>
      </c>
      <c r="C282" s="183">
        <f t="shared" si="54"/>
        <v>0.5622317596566524</v>
      </c>
      <c r="D282" s="163">
        <v>233</v>
      </c>
      <c r="E282" s="156" t="s">
        <v>126</v>
      </c>
      <c r="F282" s="163" t="s">
        <v>1</v>
      </c>
      <c r="G282" s="181">
        <v>3510</v>
      </c>
      <c r="H282" s="182">
        <f>E282*G282</f>
        <v>459810</v>
      </c>
    </row>
    <row r="283" spans="1:9" s="171" customFormat="1" ht="15" customHeight="1">
      <c r="A283" s="257"/>
      <c r="B283" s="163" t="s">
        <v>127</v>
      </c>
      <c r="C283" s="183"/>
      <c r="D283" s="163"/>
      <c r="E283" s="156" t="s">
        <v>129</v>
      </c>
      <c r="F283" s="163" t="s">
        <v>128</v>
      </c>
      <c r="G283" s="181">
        <v>37800</v>
      </c>
      <c r="H283" s="182">
        <f>E283*G283</f>
        <v>75600</v>
      </c>
    </row>
    <row r="284" spans="1:9" s="171" customFormat="1" ht="15" customHeight="1">
      <c r="A284" s="257"/>
      <c r="B284" s="163" t="s">
        <v>130</v>
      </c>
      <c r="C284" s="183"/>
      <c r="D284" s="163"/>
      <c r="E284" s="156" t="s">
        <v>26</v>
      </c>
      <c r="F284" s="163" t="s">
        <v>3</v>
      </c>
      <c r="G284" s="181">
        <v>44280</v>
      </c>
      <c r="H284" s="182">
        <f>E284*G284</f>
        <v>44280</v>
      </c>
    </row>
    <row r="285" spans="1:9" s="171" customFormat="1" ht="15" customHeight="1">
      <c r="A285" s="257"/>
      <c r="B285" s="163" t="s">
        <v>131</v>
      </c>
      <c r="C285" s="183"/>
      <c r="D285" s="163"/>
      <c r="E285" s="156" t="s">
        <v>142</v>
      </c>
      <c r="F285" s="163" t="s">
        <v>1</v>
      </c>
      <c r="G285" s="181">
        <v>24150</v>
      </c>
      <c r="H285" s="182">
        <f t="shared" ref="H285:H287" si="56">E285*G285</f>
        <v>125580</v>
      </c>
    </row>
    <row r="286" spans="1:9" s="171" customFormat="1" ht="15" customHeight="1">
      <c r="A286" s="257"/>
      <c r="B286" s="163" t="s">
        <v>47</v>
      </c>
      <c r="C286" s="180"/>
      <c r="D286" s="163"/>
      <c r="E286" s="156" t="s">
        <v>52</v>
      </c>
      <c r="F286" s="163" t="s">
        <v>3</v>
      </c>
      <c r="G286" s="110">
        <v>36750</v>
      </c>
      <c r="H286" s="111">
        <f t="shared" si="56"/>
        <v>3675</v>
      </c>
    </row>
    <row r="287" spans="1:9" s="171" customFormat="1" ht="15" customHeight="1">
      <c r="A287" s="257"/>
      <c r="B287" s="163" t="s">
        <v>11</v>
      </c>
      <c r="C287" s="164"/>
      <c r="D287" s="163"/>
      <c r="E287" s="215">
        <v>0.1</v>
      </c>
      <c r="F287" s="163" t="s">
        <v>1</v>
      </c>
      <c r="G287" s="110">
        <v>57750</v>
      </c>
      <c r="H287" s="111">
        <f t="shared" si="56"/>
        <v>5775</v>
      </c>
      <c r="I287" s="175">
        <f>233*17000</f>
        <v>3961000</v>
      </c>
    </row>
    <row r="288" spans="1:9" s="171" customFormat="1" ht="15" customHeight="1">
      <c r="A288" s="257"/>
      <c r="B288" s="184" t="s">
        <v>25</v>
      </c>
      <c r="C288" s="184"/>
      <c r="D288" s="184"/>
      <c r="E288" s="213"/>
      <c r="F288" s="186"/>
      <c r="G288" s="184"/>
      <c r="H288" s="187">
        <f>130426-651</f>
        <v>129775</v>
      </c>
    </row>
    <row r="289" spans="1:9" s="120" customFormat="1" ht="20.399999999999999" customHeight="1">
      <c r="A289" s="166"/>
      <c r="B289" s="21"/>
      <c r="C289" s="21"/>
      <c r="D289" s="21"/>
      <c r="E289" s="212"/>
      <c r="F289" s="22"/>
      <c r="G289" s="21"/>
      <c r="H289" s="5">
        <f>SUM(H279:H288)</f>
        <v>3961000</v>
      </c>
      <c r="I289" s="165">
        <f>H289-I287</f>
        <v>0</v>
      </c>
    </row>
    <row r="290" spans="1:9" s="120" customFormat="1" ht="20.399999999999999" customHeight="1">
      <c r="A290" s="250" t="s">
        <v>148</v>
      </c>
      <c r="B290" s="105" t="s">
        <v>20</v>
      </c>
      <c r="C290" s="122">
        <f>E290/D290</f>
        <v>0.11931330472103005</v>
      </c>
      <c r="D290" s="45">
        <v>233</v>
      </c>
      <c r="E290" s="154" t="s">
        <v>112</v>
      </c>
      <c r="F290" s="105" t="s">
        <v>1</v>
      </c>
      <c r="G290" s="123">
        <v>21525</v>
      </c>
      <c r="H290" s="107">
        <f>E290*G290</f>
        <v>598395</v>
      </c>
      <c r="I290" s="165"/>
    </row>
    <row r="291" spans="1:9" s="120" customFormat="1" ht="20.399999999999999" customHeight="1">
      <c r="A291" s="251"/>
      <c r="B291" s="45" t="s">
        <v>91</v>
      </c>
      <c r="C291" s="124">
        <f t="shared" ref="C291:C292" si="57">E291/D291</f>
        <v>6.9527896995708147E-2</v>
      </c>
      <c r="D291" s="45">
        <v>233</v>
      </c>
      <c r="E291" s="140">
        <v>16.2</v>
      </c>
      <c r="F291" s="45" t="s">
        <v>1</v>
      </c>
      <c r="G291" s="110">
        <v>140700</v>
      </c>
      <c r="H291" s="111">
        <f>E291*G291-1892</f>
        <v>2277448</v>
      </c>
      <c r="I291" s="165"/>
    </row>
    <row r="292" spans="1:9" s="120" customFormat="1" ht="20.399999999999999" customHeight="1">
      <c r="A292" s="251"/>
      <c r="B292" s="45" t="s">
        <v>116</v>
      </c>
      <c r="C292" s="125">
        <f t="shared" si="57"/>
        <v>3.1759656652360517E-2</v>
      </c>
      <c r="D292" s="45">
        <v>233</v>
      </c>
      <c r="E292" s="192" t="s">
        <v>118</v>
      </c>
      <c r="F292" s="45" t="s">
        <v>1</v>
      </c>
      <c r="G292" s="110">
        <v>67200</v>
      </c>
      <c r="H292" s="111">
        <f>E292*G292</f>
        <v>497280</v>
      </c>
      <c r="I292" s="165"/>
    </row>
    <row r="293" spans="1:9" s="120" customFormat="1" ht="20.399999999999999" customHeight="1">
      <c r="A293" s="251"/>
      <c r="B293" s="45" t="s">
        <v>86</v>
      </c>
      <c r="C293" s="125"/>
      <c r="D293" s="45">
        <v>233</v>
      </c>
      <c r="E293" s="206" t="s">
        <v>54</v>
      </c>
      <c r="F293" s="45" t="s">
        <v>1</v>
      </c>
      <c r="G293" s="110">
        <v>78750</v>
      </c>
      <c r="H293" s="111">
        <f t="shared" ref="H293:H297" si="58">E293*G293</f>
        <v>236250</v>
      </c>
      <c r="I293" s="165">
        <f>233*17000</f>
        <v>3961000</v>
      </c>
    </row>
    <row r="294" spans="1:9" s="120" customFormat="1" ht="20.399999999999999" customHeight="1">
      <c r="A294" s="251"/>
      <c r="B294" s="45" t="s">
        <v>87</v>
      </c>
      <c r="C294" s="125"/>
      <c r="D294" s="45">
        <v>233</v>
      </c>
      <c r="E294" s="206" t="s">
        <v>152</v>
      </c>
      <c r="F294" s="45" t="s">
        <v>3</v>
      </c>
      <c r="G294" s="110">
        <v>20478</v>
      </c>
      <c r="H294" s="111">
        <f t="shared" si="58"/>
        <v>204780</v>
      </c>
      <c r="I294" s="165"/>
    </row>
    <row r="295" spans="1:9" s="120" customFormat="1" ht="20.399999999999999" customHeight="1">
      <c r="A295" s="251"/>
      <c r="B295" s="45" t="s">
        <v>88</v>
      </c>
      <c r="C295" s="45"/>
      <c r="D295" s="45"/>
      <c r="E295" s="206" t="s">
        <v>52</v>
      </c>
      <c r="F295" s="45" t="s">
        <v>1</v>
      </c>
      <c r="G295" s="110">
        <v>63000</v>
      </c>
      <c r="H295" s="111">
        <f t="shared" si="58"/>
        <v>6300</v>
      </c>
      <c r="I295" s="165"/>
    </row>
    <row r="296" spans="1:9" s="120" customFormat="1" ht="20.399999999999999" customHeight="1">
      <c r="A296" s="251"/>
      <c r="B296" s="45" t="s">
        <v>80</v>
      </c>
      <c r="C296" s="126"/>
      <c r="D296" s="45"/>
      <c r="E296" s="206" t="s">
        <v>52</v>
      </c>
      <c r="F296" s="45" t="s">
        <v>1</v>
      </c>
      <c r="G296" s="110">
        <v>60900</v>
      </c>
      <c r="H296" s="111">
        <f t="shared" si="58"/>
        <v>6090</v>
      </c>
      <c r="I296" s="165">
        <f>H299-I293</f>
        <v>0</v>
      </c>
    </row>
    <row r="297" spans="1:9" s="120" customFormat="1" ht="20.399999999999999" customHeight="1">
      <c r="A297" s="251"/>
      <c r="B297" s="45" t="s">
        <v>89</v>
      </c>
      <c r="C297" s="115"/>
      <c r="D297" s="45"/>
      <c r="E297" s="206" t="s">
        <v>52</v>
      </c>
      <c r="F297" s="45" t="s">
        <v>1</v>
      </c>
      <c r="G297" s="110">
        <v>42000</v>
      </c>
      <c r="H297" s="111">
        <f t="shared" si="58"/>
        <v>4200</v>
      </c>
      <c r="I297" s="165"/>
    </row>
    <row r="298" spans="1:9" s="120" customFormat="1" ht="20.399999999999999" customHeight="1">
      <c r="A298" s="194"/>
      <c r="B298" s="184" t="s">
        <v>25</v>
      </c>
      <c r="C298" s="184"/>
      <c r="D298" s="184"/>
      <c r="E298" s="213"/>
      <c r="F298" s="186"/>
      <c r="G298" s="184"/>
      <c r="H298" s="187">
        <f>130426-169</f>
        <v>130257</v>
      </c>
      <c r="I298" s="165"/>
    </row>
    <row r="299" spans="1:9" s="120" customFormat="1" ht="20.399999999999999" customHeight="1">
      <c r="A299" s="166"/>
      <c r="B299" s="195"/>
      <c r="C299" s="167"/>
      <c r="D299" s="195"/>
      <c r="E299" s="214"/>
      <c r="F299" s="195"/>
      <c r="G299" s="196"/>
      <c r="H299" s="197">
        <f>SUM(H290:H298)</f>
        <v>3961000</v>
      </c>
      <c r="I299" s="165">
        <f>H299-I293</f>
        <v>0</v>
      </c>
    </row>
    <row r="300" spans="1:9" s="120" customFormat="1" ht="15" customHeight="1">
      <c r="A300" s="243" t="s">
        <v>149</v>
      </c>
      <c r="B300" s="105" t="s">
        <v>20</v>
      </c>
      <c r="C300" s="122">
        <f>E300/D300</f>
        <v>0.11931330472103005</v>
      </c>
      <c r="D300" s="136">
        <v>233</v>
      </c>
      <c r="E300" s="155" t="s">
        <v>112</v>
      </c>
      <c r="F300" s="137" t="s">
        <v>1</v>
      </c>
      <c r="G300" s="123">
        <v>21525</v>
      </c>
      <c r="H300" s="138">
        <f>E300*G300</f>
        <v>598395</v>
      </c>
      <c r="I300" s="189"/>
    </row>
    <row r="301" spans="1:9" s="120" customFormat="1" ht="15" customHeight="1">
      <c r="A301" s="243"/>
      <c r="B301" s="163" t="s">
        <v>5</v>
      </c>
      <c r="C301" s="124">
        <f>E301/D301</f>
        <v>5.3218884120171672E-2</v>
      </c>
      <c r="D301" s="141">
        <v>233</v>
      </c>
      <c r="E301" s="156" t="s">
        <v>150</v>
      </c>
      <c r="F301" s="45" t="s">
        <v>1</v>
      </c>
      <c r="G301" s="142">
        <v>178200</v>
      </c>
      <c r="H301" s="111">
        <f t="shared" ref="H301:H306" si="59">E301*G301</f>
        <v>2209680</v>
      </c>
    </row>
    <row r="302" spans="1:9" s="120" customFormat="1" ht="15" customHeight="1">
      <c r="A302" s="243"/>
      <c r="B302" s="163" t="s">
        <v>42</v>
      </c>
      <c r="C302" s="124">
        <f t="shared" ref="C302:C304" si="60">E302/D302</f>
        <v>3.4334763948497854E-2</v>
      </c>
      <c r="D302" s="141">
        <v>233</v>
      </c>
      <c r="E302" s="156" t="s">
        <v>22</v>
      </c>
      <c r="F302" s="45" t="s">
        <v>1</v>
      </c>
      <c r="G302" s="142">
        <v>89250</v>
      </c>
      <c r="H302" s="111">
        <f t="shared" si="59"/>
        <v>714000</v>
      </c>
    </row>
    <row r="303" spans="1:9" s="120" customFormat="1" ht="15" customHeight="1">
      <c r="A303" s="243"/>
      <c r="B303" s="163" t="s">
        <v>44</v>
      </c>
      <c r="C303" s="124">
        <f t="shared" si="60"/>
        <v>4.2918454935622317E-3</v>
      </c>
      <c r="D303" s="141">
        <v>233</v>
      </c>
      <c r="E303" s="140">
        <v>1</v>
      </c>
      <c r="F303" s="45" t="s">
        <v>3</v>
      </c>
      <c r="G303" s="110">
        <v>137550</v>
      </c>
      <c r="H303" s="111">
        <f t="shared" si="59"/>
        <v>137550</v>
      </c>
    </row>
    <row r="304" spans="1:9" s="120" customFormat="1" ht="15" customHeight="1">
      <c r="A304" s="188"/>
      <c r="B304" s="139" t="s">
        <v>122</v>
      </c>
      <c r="C304" s="140">
        <f t="shared" si="60"/>
        <v>4.2918454935622321E-4</v>
      </c>
      <c r="D304" s="141">
        <v>233</v>
      </c>
      <c r="E304" s="140">
        <v>0.1</v>
      </c>
      <c r="F304" s="45" t="s">
        <v>3</v>
      </c>
      <c r="G304" s="110">
        <v>36750</v>
      </c>
      <c r="H304" s="111">
        <f t="shared" si="59"/>
        <v>3675</v>
      </c>
    </row>
    <row r="305" spans="1:9" s="120" customFormat="1" ht="15" customHeight="1">
      <c r="A305" s="188"/>
      <c r="B305" s="139" t="s">
        <v>119</v>
      </c>
      <c r="C305" s="140"/>
      <c r="D305" s="143"/>
      <c r="E305" s="153">
        <v>6.7</v>
      </c>
      <c r="F305" s="45" t="s">
        <v>1</v>
      </c>
      <c r="G305" s="110">
        <v>24150</v>
      </c>
      <c r="H305" s="111">
        <f t="shared" si="59"/>
        <v>161805</v>
      </c>
    </row>
    <row r="306" spans="1:9" s="120" customFormat="1" ht="15" customHeight="1">
      <c r="A306" s="188"/>
      <c r="B306" s="45" t="s">
        <v>80</v>
      </c>
      <c r="C306" s="126"/>
      <c r="D306" s="45"/>
      <c r="E306" s="206" t="s">
        <v>52</v>
      </c>
      <c r="F306" s="45" t="s">
        <v>1</v>
      </c>
      <c r="G306" s="110">
        <v>57750</v>
      </c>
      <c r="H306" s="111">
        <f t="shared" si="59"/>
        <v>5775</v>
      </c>
    </row>
    <row r="307" spans="1:9" s="120" customFormat="1" ht="15" customHeight="1">
      <c r="A307" s="188"/>
      <c r="B307" s="144" t="s">
        <v>25</v>
      </c>
      <c r="C307" s="126"/>
      <c r="D307" s="145"/>
      <c r="E307" s="146"/>
      <c r="F307" s="141" t="s">
        <v>1</v>
      </c>
      <c r="G307" s="110"/>
      <c r="H307" s="119">
        <f>130426-306</f>
        <v>130120</v>
      </c>
      <c r="I307" s="202">
        <f>233*17000</f>
        <v>3961000</v>
      </c>
    </row>
    <row r="308" spans="1:9" s="134" customFormat="1" ht="19.8" customHeight="1">
      <c r="A308" s="168"/>
      <c r="B308" s="148"/>
      <c r="C308" s="148"/>
      <c r="D308" s="148"/>
      <c r="E308" s="157"/>
      <c r="F308" s="169"/>
      <c r="G308" s="148"/>
      <c r="H308" s="170">
        <f>SUM(H300:H307)</f>
        <v>3961000</v>
      </c>
      <c r="I308" s="151">
        <f>H308-I307</f>
        <v>0</v>
      </c>
    </row>
    <row r="309" spans="1:9">
      <c r="A309" s="100"/>
      <c r="B309" s="100"/>
      <c r="C309" s="100"/>
      <c r="D309" s="100"/>
      <c r="E309" s="216"/>
    </row>
    <row r="310" spans="1:9" ht="18">
      <c r="A310" s="244" t="s">
        <v>29</v>
      </c>
      <c r="B310" s="244"/>
      <c r="C310" s="244" t="s">
        <v>30</v>
      </c>
      <c r="D310" s="244"/>
      <c r="E310" s="244"/>
      <c r="F310" s="1"/>
      <c r="G310" s="244" t="s">
        <v>31</v>
      </c>
      <c r="H310" s="244"/>
    </row>
    <row r="311" spans="1:9" ht="18">
      <c r="A311" s="41"/>
      <c r="B311" s="41"/>
      <c r="C311" s="41"/>
      <c r="D311" s="41"/>
      <c r="E311" s="41"/>
      <c r="F311" s="1"/>
      <c r="G311" s="41"/>
      <c r="H311" s="41"/>
    </row>
    <row r="312" spans="1:9" ht="18">
      <c r="A312" s="41"/>
      <c r="B312" s="41"/>
      <c r="C312" s="41"/>
      <c r="D312" s="41"/>
      <c r="E312" s="41"/>
      <c r="F312" s="1"/>
      <c r="G312" s="41"/>
      <c r="H312" s="41"/>
    </row>
    <row r="313" spans="1:9" ht="18">
      <c r="A313" s="41"/>
      <c r="B313" s="41"/>
      <c r="C313" s="41"/>
      <c r="D313" s="41"/>
      <c r="E313" s="41"/>
      <c r="F313" s="1"/>
      <c r="G313" s="41"/>
      <c r="H313" s="41"/>
    </row>
    <row r="314" spans="1:9" ht="18">
      <c r="A314" s="41"/>
      <c r="B314" s="41"/>
      <c r="C314" s="41"/>
      <c r="D314" s="41"/>
      <c r="E314" s="41"/>
      <c r="F314" s="1"/>
      <c r="G314" s="41"/>
      <c r="H314" s="41"/>
    </row>
    <row r="315" spans="1:9" ht="18">
      <c r="A315" s="41"/>
      <c r="B315" s="41"/>
      <c r="C315" s="41"/>
      <c r="D315" s="41"/>
      <c r="E315" s="41"/>
      <c r="F315" s="1"/>
      <c r="G315" s="41"/>
      <c r="H315" s="41"/>
    </row>
    <row r="316" spans="1:9" ht="18">
      <c r="A316" s="41"/>
      <c r="B316" s="41"/>
      <c r="C316" s="41"/>
      <c r="D316" s="41"/>
      <c r="E316" s="41"/>
      <c r="F316" s="1"/>
      <c r="G316" s="41"/>
      <c r="H316" s="41"/>
    </row>
    <row r="317" spans="1:9" ht="18">
      <c r="A317" s="41"/>
      <c r="B317" s="41"/>
      <c r="C317" s="41"/>
      <c r="D317" s="41"/>
      <c r="E317" s="41"/>
      <c r="F317" s="1"/>
      <c r="G317" s="41"/>
      <c r="H317" s="41"/>
    </row>
    <row r="318" spans="1:9" ht="18">
      <c r="A318" s="41"/>
      <c r="B318" s="41"/>
      <c r="C318" s="41"/>
      <c r="D318" s="41"/>
      <c r="E318" s="41"/>
      <c r="F318" s="1"/>
      <c r="G318" s="41"/>
      <c r="H318" s="41"/>
    </row>
    <row r="319" spans="1:9" ht="18">
      <c r="A319" s="41"/>
      <c r="B319" s="41"/>
      <c r="C319" s="41"/>
      <c r="D319" s="41"/>
      <c r="E319" s="41"/>
      <c r="F319" s="1"/>
      <c r="G319" s="41"/>
      <c r="H319" s="41"/>
    </row>
    <row r="320" spans="1:9" ht="18">
      <c r="A320" s="41"/>
      <c r="B320" s="41"/>
      <c r="C320" s="41"/>
      <c r="D320" s="41"/>
      <c r="E320" s="41"/>
      <c r="F320" s="1"/>
      <c r="G320" s="41"/>
      <c r="H320" s="41"/>
    </row>
    <row r="321" spans="1:8" ht="18">
      <c r="A321" s="41"/>
      <c r="B321" s="41"/>
      <c r="C321" s="41"/>
      <c r="D321" s="41"/>
      <c r="E321" s="41"/>
      <c r="F321" s="1"/>
      <c r="G321" s="41"/>
      <c r="H321" s="41"/>
    </row>
    <row r="322" spans="1:8" ht="18">
      <c r="A322" s="41"/>
      <c r="B322" s="41"/>
      <c r="C322" s="41"/>
      <c r="D322" s="41"/>
      <c r="E322" s="41"/>
      <c r="F322" s="1"/>
      <c r="G322" s="41"/>
      <c r="H322" s="41"/>
    </row>
    <row r="323" spans="1:8" ht="18">
      <c r="A323" s="41"/>
      <c r="B323" s="41"/>
      <c r="C323" s="41"/>
      <c r="D323" s="41"/>
      <c r="E323" s="41"/>
      <c r="F323" s="1"/>
      <c r="G323" s="41"/>
      <c r="H323" s="41"/>
    </row>
    <row r="324" spans="1:8" ht="18">
      <c r="A324" s="41"/>
      <c r="B324" s="41"/>
      <c r="C324" s="41"/>
      <c r="D324" s="41"/>
      <c r="E324" s="41"/>
      <c r="F324" s="1"/>
      <c r="G324" s="41"/>
      <c r="H324" s="41"/>
    </row>
    <row r="325" spans="1:8" ht="18">
      <c r="A325" s="41"/>
      <c r="B325" s="41"/>
      <c r="C325" s="41"/>
      <c r="D325" s="41"/>
      <c r="E325" s="41"/>
      <c r="F325" s="1"/>
      <c r="G325" s="41"/>
      <c r="H325" s="41"/>
    </row>
    <row r="326" spans="1:8" ht="18">
      <c r="A326" s="41"/>
      <c r="B326" s="41"/>
      <c r="C326" s="41"/>
      <c r="D326" s="41"/>
      <c r="E326" s="41"/>
      <c r="F326" s="1"/>
      <c r="G326" s="41"/>
      <c r="H326" s="41"/>
    </row>
    <row r="327" spans="1:8" ht="18">
      <c r="A327" s="41"/>
      <c r="B327" s="41"/>
      <c r="C327" s="41"/>
      <c r="D327" s="41"/>
      <c r="E327" s="41"/>
      <c r="F327" s="1"/>
      <c r="G327" s="41"/>
      <c r="H327" s="41"/>
    </row>
    <row r="328" spans="1:8" ht="18">
      <c r="A328" s="41"/>
      <c r="B328" s="41"/>
      <c r="C328" s="41"/>
      <c r="D328" s="41"/>
      <c r="E328" s="41"/>
      <c r="F328" s="1"/>
      <c r="G328" s="41"/>
      <c r="H328" s="41"/>
    </row>
    <row r="329" spans="1:8" ht="18">
      <c r="A329" s="41"/>
      <c r="B329" s="41"/>
      <c r="C329" s="41"/>
      <c r="D329" s="41"/>
      <c r="E329" s="41"/>
      <c r="F329" s="1"/>
      <c r="G329" s="41"/>
      <c r="H329" s="41"/>
    </row>
    <row r="330" spans="1:8" ht="18">
      <c r="A330" s="41"/>
      <c r="B330" s="41"/>
      <c r="C330" s="41"/>
      <c r="D330" s="41"/>
      <c r="E330" s="41"/>
      <c r="F330" s="1"/>
      <c r="G330" s="41"/>
      <c r="H330" s="41"/>
    </row>
    <row r="331" spans="1:8" ht="18">
      <c r="A331" s="41"/>
      <c r="B331" s="41"/>
      <c r="C331" s="41"/>
      <c r="D331" s="41"/>
      <c r="E331" s="41"/>
      <c r="F331" s="1"/>
      <c r="G331" s="41"/>
      <c r="H331" s="41"/>
    </row>
    <row r="332" spans="1:8" ht="18">
      <c r="A332" s="41"/>
      <c r="B332" s="41"/>
      <c r="C332" s="41"/>
      <c r="D332" s="41"/>
      <c r="E332" s="41"/>
      <c r="F332" s="1"/>
      <c r="G332" s="41"/>
      <c r="H332" s="41"/>
    </row>
    <row r="333" spans="1:8" ht="18">
      <c r="A333" s="41"/>
      <c r="B333" s="41"/>
      <c r="C333" s="41"/>
      <c r="D333" s="41"/>
      <c r="E333" s="41"/>
      <c r="F333" s="1"/>
      <c r="G333" s="41"/>
      <c r="H333" s="41"/>
    </row>
    <row r="334" spans="1:8" ht="18">
      <c r="A334" s="41"/>
      <c r="B334" s="41"/>
      <c r="C334" s="41"/>
      <c r="D334" s="41"/>
      <c r="E334" s="41"/>
      <c r="F334" s="1"/>
      <c r="G334" s="41"/>
      <c r="H334" s="41"/>
    </row>
    <row r="335" spans="1:8" ht="18">
      <c r="A335" s="41"/>
      <c r="B335" s="41"/>
      <c r="C335" s="41"/>
      <c r="D335" s="41"/>
      <c r="E335" s="41"/>
      <c r="F335" s="1"/>
      <c r="G335" s="41"/>
      <c r="H335" s="41"/>
    </row>
    <row r="336" spans="1:8" ht="18">
      <c r="A336" s="41"/>
      <c r="B336" s="41"/>
      <c r="C336" s="41"/>
      <c r="D336" s="41"/>
      <c r="E336" s="41"/>
      <c r="F336" s="1"/>
      <c r="G336" s="41"/>
      <c r="H336" s="41"/>
    </row>
    <row r="337" spans="1:10" ht="18">
      <c r="A337" s="41"/>
      <c r="B337" s="41"/>
      <c r="C337" s="41"/>
      <c r="D337" s="41"/>
      <c r="E337" s="41"/>
      <c r="F337" s="1"/>
      <c r="G337" s="41"/>
      <c r="H337" s="41"/>
    </row>
    <row r="345" spans="1:10" ht="15.6">
      <c r="A345" s="6" t="s">
        <v>0</v>
      </c>
      <c r="B345" s="6"/>
    </row>
    <row r="346" spans="1:10" s="102" customFormat="1" ht="16.8" customHeight="1">
      <c r="A346" s="244" t="s">
        <v>124</v>
      </c>
      <c r="B346" s="244"/>
      <c r="C346" s="244"/>
      <c r="D346" s="244"/>
      <c r="E346" s="244"/>
      <c r="F346" s="244"/>
      <c r="G346" s="244"/>
      <c r="H346" s="244"/>
      <c r="I346" s="149">
        <f>1996200/15</f>
        <v>133080</v>
      </c>
    </row>
    <row r="347" spans="1:10" s="102" customFormat="1" ht="16.8" customHeight="1">
      <c r="A347" s="101"/>
      <c r="B347" s="245" t="s">
        <v>136</v>
      </c>
      <c r="C347" s="245"/>
      <c r="D347" s="245"/>
      <c r="E347" s="245"/>
      <c r="F347" s="245"/>
      <c r="G347" s="245"/>
      <c r="H347" s="245"/>
    </row>
    <row r="348" spans="1:10" ht="15" customHeight="1">
      <c r="A348" s="7" t="s">
        <v>13</v>
      </c>
      <c r="B348" s="8" t="s">
        <v>14</v>
      </c>
      <c r="C348" s="9" t="s">
        <v>15</v>
      </c>
      <c r="D348" s="10" t="s">
        <v>16</v>
      </c>
      <c r="E348" s="7" t="s">
        <v>17</v>
      </c>
      <c r="F348" s="11" t="s">
        <v>4</v>
      </c>
      <c r="G348" s="7" t="s">
        <v>18</v>
      </c>
      <c r="H348" s="7" t="s">
        <v>19</v>
      </c>
      <c r="J348" s="14" t="e">
        <f>#REF!*#REF!</f>
        <v>#REF!</v>
      </c>
    </row>
    <row r="349" spans="1:10" s="109" customFormat="1" ht="15" customHeight="1">
      <c r="A349" s="253" t="s">
        <v>137</v>
      </c>
      <c r="B349" s="103" t="s">
        <v>10</v>
      </c>
      <c r="C349" s="104">
        <f>E349/D349</f>
        <v>0.11974248927038626</v>
      </c>
      <c r="D349" s="45">
        <v>233</v>
      </c>
      <c r="E349" s="152">
        <v>27.9</v>
      </c>
      <c r="F349" s="105" t="s">
        <v>1</v>
      </c>
      <c r="G349" s="106">
        <v>21525</v>
      </c>
      <c r="H349" s="107">
        <f>E349*G349</f>
        <v>600547.5</v>
      </c>
      <c r="I349" s="108"/>
      <c r="J349" s="111" t="e">
        <f>#REF!*#REF!</f>
        <v>#REF!</v>
      </c>
    </row>
    <row r="350" spans="1:10" s="109" customFormat="1" ht="15" customHeight="1">
      <c r="A350" s="254"/>
      <c r="B350" s="45" t="s">
        <v>48</v>
      </c>
      <c r="C350" s="45">
        <f>E350/D350</f>
        <v>5.9227467811158799E-2</v>
      </c>
      <c r="D350" s="45">
        <v>233</v>
      </c>
      <c r="E350" s="140">
        <v>13.8</v>
      </c>
      <c r="F350" s="45" t="s">
        <v>1</v>
      </c>
      <c r="G350" s="110">
        <v>169560</v>
      </c>
      <c r="H350" s="111">
        <f>E350*G350</f>
        <v>2339928</v>
      </c>
      <c r="I350" s="114">
        <f>233*17000</f>
        <v>3961000</v>
      </c>
      <c r="J350" s="111" t="e">
        <f>#REF!*#REF!</f>
        <v>#REF!</v>
      </c>
    </row>
    <row r="351" spans="1:10" s="109" customFormat="1" ht="15" customHeight="1">
      <c r="A351" s="255"/>
      <c r="B351" s="45" t="s">
        <v>49</v>
      </c>
      <c r="C351" s="45">
        <f t="shared" ref="C351:C353" si="61">E351/D351</f>
        <v>0.5622317596566524</v>
      </c>
      <c r="D351" s="45">
        <v>233</v>
      </c>
      <c r="E351" s="140">
        <v>131</v>
      </c>
      <c r="F351" s="45" t="s">
        <v>1</v>
      </c>
      <c r="G351" s="110">
        <v>3456</v>
      </c>
      <c r="H351" s="111">
        <f t="shared" ref="H351:H356" si="62">E351*G351</f>
        <v>452736</v>
      </c>
      <c r="I351" s="117">
        <f>I350-H358</f>
        <v>0.5</v>
      </c>
      <c r="J351" s="111" t="e">
        <f>#REF!*#REF!</f>
        <v>#REF!</v>
      </c>
    </row>
    <row r="352" spans="1:10" s="109" customFormat="1" ht="15" customHeight="1">
      <c r="A352" s="255"/>
      <c r="B352" s="45" t="s">
        <v>50</v>
      </c>
      <c r="C352" s="45">
        <f t="shared" si="61"/>
        <v>2.6180257510729613E-2</v>
      </c>
      <c r="D352" s="45">
        <v>233</v>
      </c>
      <c r="E352" s="140">
        <v>6.1</v>
      </c>
      <c r="F352" s="45" t="s">
        <v>1</v>
      </c>
      <c r="G352" s="110">
        <v>23100</v>
      </c>
      <c r="H352" s="111">
        <f t="shared" si="62"/>
        <v>140910</v>
      </c>
      <c r="J352" s="111">
        <f>184800+136500</f>
        <v>321300</v>
      </c>
    </row>
    <row r="353" spans="1:10" s="109" customFormat="1" ht="15" customHeight="1">
      <c r="A353" s="255"/>
      <c r="B353" s="45" t="s">
        <v>121</v>
      </c>
      <c r="C353" s="124">
        <f t="shared" si="61"/>
        <v>4.2918454935622317E-3</v>
      </c>
      <c r="D353" s="45">
        <v>233</v>
      </c>
      <c r="E353" s="140">
        <v>1</v>
      </c>
      <c r="F353" s="45" t="s">
        <v>3</v>
      </c>
      <c r="G353" s="110">
        <v>141750</v>
      </c>
      <c r="H353" s="111">
        <f t="shared" si="62"/>
        <v>141750</v>
      </c>
      <c r="I353" s="114">
        <f>229*17000</f>
        <v>3893000</v>
      </c>
      <c r="J353" s="111">
        <v>136716</v>
      </c>
    </row>
    <row r="354" spans="1:10" s="109" customFormat="1" ht="15" customHeight="1">
      <c r="A354" s="255"/>
      <c r="B354" s="45" t="s">
        <v>63</v>
      </c>
      <c r="C354" s="140"/>
      <c r="D354" s="45"/>
      <c r="E354" s="140">
        <v>0.1</v>
      </c>
      <c r="F354" s="45" t="s">
        <v>3</v>
      </c>
      <c r="G354" s="110">
        <v>36750</v>
      </c>
      <c r="H354" s="111">
        <f t="shared" si="62"/>
        <v>3675</v>
      </c>
      <c r="I354" s="117">
        <f>H358-I353</f>
        <v>67999.5</v>
      </c>
      <c r="J354" s="118"/>
    </row>
    <row r="355" spans="1:10" s="109" customFormat="1" ht="15" customHeight="1">
      <c r="A355" s="255"/>
      <c r="B355" s="139" t="s">
        <v>122</v>
      </c>
      <c r="C355" s="140"/>
      <c r="D355" s="143"/>
      <c r="E355" s="153">
        <v>7.7</v>
      </c>
      <c r="F355" s="45" t="s">
        <v>1</v>
      </c>
      <c r="G355" s="110">
        <v>18900</v>
      </c>
      <c r="H355" s="111">
        <f t="shared" si="62"/>
        <v>145530</v>
      </c>
      <c r="I355" s="117"/>
      <c r="J355" s="118"/>
    </row>
    <row r="356" spans="1:10" s="109" customFormat="1" ht="15" customHeight="1">
      <c r="A356" s="255"/>
      <c r="B356" s="45" t="s">
        <v>11</v>
      </c>
      <c r="C356" s="45"/>
      <c r="D356" s="45"/>
      <c r="E356" s="140">
        <v>0.1</v>
      </c>
      <c r="F356" s="45" t="s">
        <v>1</v>
      </c>
      <c r="G356" s="110">
        <v>57750</v>
      </c>
      <c r="H356" s="111">
        <f t="shared" si="62"/>
        <v>5775</v>
      </c>
      <c r="J356" s="118"/>
    </row>
    <row r="357" spans="1:10" s="109" customFormat="1" ht="15" customHeight="1">
      <c r="A357" s="255"/>
      <c r="B357" s="115" t="s">
        <v>25</v>
      </c>
      <c r="C357" s="115"/>
      <c r="D357" s="115"/>
      <c r="E357" s="209"/>
      <c r="F357" s="116"/>
      <c r="G357" s="115"/>
      <c r="H357" s="187">
        <f>130426-278</f>
        <v>130148</v>
      </c>
      <c r="J357" s="118"/>
    </row>
    <row r="358" spans="1:10" s="128" customFormat="1" ht="22.2" customHeight="1">
      <c r="A358" s="256"/>
      <c r="B358" s="198"/>
      <c r="C358" s="198"/>
      <c r="D358" s="198"/>
      <c r="E358" s="217"/>
      <c r="F358" s="199"/>
      <c r="G358" s="198"/>
      <c r="H358" s="200">
        <f>SUM(H349:H357)</f>
        <v>3960999.5</v>
      </c>
      <c r="I358" s="127">
        <f>H358-I350</f>
        <v>-0.5</v>
      </c>
    </row>
    <row r="359" spans="1:10" s="109" customFormat="1" ht="15" customHeight="1">
      <c r="A359" s="246" t="s">
        <v>138</v>
      </c>
      <c r="B359" s="105" t="s">
        <v>20</v>
      </c>
      <c r="C359" s="122">
        <f>E359/D359</f>
        <v>0.11982758620689656</v>
      </c>
      <c r="D359" s="136">
        <v>232</v>
      </c>
      <c r="E359" s="155" t="s">
        <v>112</v>
      </c>
      <c r="F359" s="137" t="s">
        <v>1</v>
      </c>
      <c r="G359" s="123">
        <v>21525</v>
      </c>
      <c r="H359" s="138">
        <f>E359*G359</f>
        <v>598395</v>
      </c>
      <c r="I359" s="150">
        <f>H358-I350</f>
        <v>-0.5</v>
      </c>
    </row>
    <row r="360" spans="1:10" s="109" customFormat="1" ht="15" customHeight="1">
      <c r="A360" s="247"/>
      <c r="B360" s="139" t="s">
        <v>60</v>
      </c>
      <c r="C360" s="124">
        <f>E360/D360</f>
        <v>5.3017241379310347E-2</v>
      </c>
      <c r="D360" s="141">
        <v>232</v>
      </c>
      <c r="E360" s="156" t="s">
        <v>133</v>
      </c>
      <c r="F360" s="45" t="s">
        <v>1</v>
      </c>
      <c r="G360" s="142">
        <v>178200</v>
      </c>
      <c r="H360" s="111">
        <f t="shared" ref="H360:H365" si="63">E360*G360</f>
        <v>2191860</v>
      </c>
      <c r="I360" s="113">
        <f>232*17000</f>
        <v>3944000</v>
      </c>
    </row>
    <row r="361" spans="1:10" s="109" customFormat="1" ht="15" customHeight="1">
      <c r="A361" s="247"/>
      <c r="B361" s="139" t="s">
        <v>61</v>
      </c>
      <c r="C361" s="124">
        <f t="shared" ref="C361:C363" si="64">E361/D361</f>
        <v>3.4482758620689655E-2</v>
      </c>
      <c r="D361" s="141">
        <v>232</v>
      </c>
      <c r="E361" s="156" t="s">
        <v>22</v>
      </c>
      <c r="F361" s="45" t="s">
        <v>1</v>
      </c>
      <c r="G361" s="142">
        <v>89250</v>
      </c>
      <c r="H361" s="111">
        <f t="shared" si="63"/>
        <v>714000</v>
      </c>
    </row>
    <row r="362" spans="1:10" s="109" customFormat="1" ht="15" customHeight="1">
      <c r="A362" s="247"/>
      <c r="B362" s="45" t="s">
        <v>121</v>
      </c>
      <c r="C362" s="124">
        <f t="shared" si="64"/>
        <v>4.3103448275862068E-3</v>
      </c>
      <c r="D362" s="141">
        <v>232</v>
      </c>
      <c r="E362" s="140">
        <v>1</v>
      </c>
      <c r="F362" s="45" t="s">
        <v>3</v>
      </c>
      <c r="G362" s="110">
        <v>137550</v>
      </c>
      <c r="H362" s="111">
        <f t="shared" si="63"/>
        <v>137550</v>
      </c>
      <c r="I362" s="121">
        <f>I360-H367</f>
        <v>0</v>
      </c>
    </row>
    <row r="363" spans="1:10" s="109" customFormat="1" ht="15" customHeight="1">
      <c r="A363" s="247"/>
      <c r="B363" s="45" t="s">
        <v>63</v>
      </c>
      <c r="C363" s="140">
        <f t="shared" si="64"/>
        <v>4.3103448275862074E-4</v>
      </c>
      <c r="D363" s="141">
        <v>232</v>
      </c>
      <c r="E363" s="140">
        <v>0.1</v>
      </c>
      <c r="F363" s="45" t="s">
        <v>3</v>
      </c>
      <c r="G363" s="110">
        <v>36750</v>
      </c>
      <c r="H363" s="111">
        <f t="shared" si="63"/>
        <v>3675</v>
      </c>
    </row>
    <row r="364" spans="1:10" s="109" customFormat="1" ht="15" customHeight="1">
      <c r="A364" s="247"/>
      <c r="B364" s="139" t="s">
        <v>119</v>
      </c>
      <c r="C364" s="140"/>
      <c r="D364" s="143"/>
      <c r="E364" s="153">
        <v>6.7</v>
      </c>
      <c r="F364" s="45" t="s">
        <v>1</v>
      </c>
      <c r="G364" s="110">
        <v>24150</v>
      </c>
      <c r="H364" s="111">
        <f t="shared" si="63"/>
        <v>161805</v>
      </c>
    </row>
    <row r="365" spans="1:10" s="109" customFormat="1" ht="15" customHeight="1">
      <c r="A365" s="247"/>
      <c r="B365" s="45" t="s">
        <v>80</v>
      </c>
      <c r="C365" s="126"/>
      <c r="D365" s="45"/>
      <c r="E365" s="206" t="s">
        <v>52</v>
      </c>
      <c r="F365" s="45" t="s">
        <v>1</v>
      </c>
      <c r="G365" s="110">
        <v>57750</v>
      </c>
      <c r="H365" s="111">
        <f t="shared" si="63"/>
        <v>5775</v>
      </c>
    </row>
    <row r="366" spans="1:10" s="109" customFormat="1" ht="15" customHeight="1">
      <c r="A366" s="248"/>
      <c r="B366" s="144" t="s">
        <v>25</v>
      </c>
      <c r="C366" s="126"/>
      <c r="D366" s="145"/>
      <c r="E366" s="146"/>
      <c r="F366" s="141" t="s">
        <v>1</v>
      </c>
      <c r="G366" s="110"/>
      <c r="H366" s="119">
        <f>130426+514</f>
        <v>130940</v>
      </c>
      <c r="I366" s="109">
        <v>130426</v>
      </c>
    </row>
    <row r="367" spans="1:10" s="128" customFormat="1" ht="18.600000000000001" customHeight="1">
      <c r="A367" s="129"/>
      <c r="B367" s="130"/>
      <c r="C367" s="131"/>
      <c r="D367" s="131"/>
      <c r="E367" s="210"/>
      <c r="F367" s="132"/>
      <c r="G367" s="130"/>
      <c r="H367" s="133">
        <f>SUM(H359:H366)</f>
        <v>3944000</v>
      </c>
      <c r="I367" s="151">
        <f>I360-H367</f>
        <v>0</v>
      </c>
    </row>
    <row r="368" spans="1:10" s="171" customFormat="1" ht="15" customHeight="1">
      <c r="A368" s="172"/>
      <c r="B368" s="12" t="s">
        <v>20</v>
      </c>
      <c r="C368" s="124">
        <f t="shared" ref="C368:C370" si="65">E368/D368</f>
        <v>1.2636363636363637</v>
      </c>
      <c r="D368" s="18">
        <v>22</v>
      </c>
      <c r="E368" s="191" t="s">
        <v>112</v>
      </c>
      <c r="F368" s="12" t="s">
        <v>1</v>
      </c>
      <c r="G368" s="13">
        <v>21525</v>
      </c>
      <c r="H368" s="14">
        <f>E368*G368</f>
        <v>598395</v>
      </c>
    </row>
    <row r="369" spans="1:9" s="171" customFormat="1" ht="15" customHeight="1">
      <c r="A369" s="257" t="s">
        <v>139</v>
      </c>
      <c r="B369" s="45" t="s">
        <v>91</v>
      </c>
      <c r="C369" s="124">
        <f t="shared" si="65"/>
        <v>7.2413793103448282E-2</v>
      </c>
      <c r="D369" s="45">
        <v>232</v>
      </c>
      <c r="E369" s="49">
        <v>16.8</v>
      </c>
      <c r="F369" s="45" t="s">
        <v>1</v>
      </c>
      <c r="G369" s="110">
        <v>140700</v>
      </c>
      <c r="H369" s="111">
        <f>E369*G369-1892</f>
        <v>2361868</v>
      </c>
    </row>
    <row r="370" spans="1:9" s="171" customFormat="1" ht="19.2" customHeight="1">
      <c r="A370" s="257"/>
      <c r="B370" s="45" t="s">
        <v>44</v>
      </c>
      <c r="C370" s="125">
        <f t="shared" si="65"/>
        <v>3.017241379310345E-2</v>
      </c>
      <c r="D370" s="45">
        <v>232</v>
      </c>
      <c r="E370" s="192" t="s">
        <v>117</v>
      </c>
      <c r="F370" s="45" t="s">
        <v>1</v>
      </c>
      <c r="G370" s="110">
        <v>67200</v>
      </c>
      <c r="H370" s="111">
        <f>E370*G370</f>
        <v>470400</v>
      </c>
      <c r="I370" s="174">
        <f>232*17000</f>
        <v>3944000</v>
      </c>
    </row>
    <row r="371" spans="1:9" s="171" customFormat="1" ht="15" customHeight="1">
      <c r="A371" s="257"/>
      <c r="B371" s="18" t="s">
        <v>50</v>
      </c>
      <c r="C371" s="18"/>
      <c r="D371" s="18">
        <v>232</v>
      </c>
      <c r="E371" s="160">
        <v>2.2000000000000002</v>
      </c>
      <c r="F371" s="18" t="s">
        <v>1</v>
      </c>
      <c r="G371" s="20">
        <v>21000</v>
      </c>
      <c r="H371" s="20">
        <f>E371*G371</f>
        <v>46200.000000000007</v>
      </c>
    </row>
    <row r="372" spans="1:9" s="171" customFormat="1" ht="15" customHeight="1">
      <c r="A372" s="257"/>
      <c r="B372" s="18" t="s">
        <v>51</v>
      </c>
      <c r="C372" s="18"/>
      <c r="D372" s="18">
        <v>232</v>
      </c>
      <c r="E372" s="160">
        <v>1</v>
      </c>
      <c r="F372" s="18" t="s">
        <v>1</v>
      </c>
      <c r="G372" s="20">
        <v>164850</v>
      </c>
      <c r="H372" s="20">
        <f t="shared" ref="H372:H376" si="66">E372*G372</f>
        <v>164850</v>
      </c>
    </row>
    <row r="373" spans="1:9" s="171" customFormat="1" ht="15" customHeight="1">
      <c r="A373" s="257"/>
      <c r="B373" s="163" t="s">
        <v>127</v>
      </c>
      <c r="C373" s="183"/>
      <c r="D373" s="163"/>
      <c r="E373" s="156" t="s">
        <v>129</v>
      </c>
      <c r="F373" s="163" t="s">
        <v>128</v>
      </c>
      <c r="G373" s="181">
        <v>37800</v>
      </c>
      <c r="H373" s="182">
        <f>E373*G373</f>
        <v>75600</v>
      </c>
    </row>
    <row r="374" spans="1:9" s="171" customFormat="1" ht="15" customHeight="1">
      <c r="A374" s="257"/>
      <c r="B374" s="18" t="s">
        <v>12</v>
      </c>
      <c r="C374" s="18"/>
      <c r="D374" s="18"/>
      <c r="E374" s="201">
        <v>4.0999999999999996</v>
      </c>
      <c r="F374" s="18" t="s">
        <v>1</v>
      </c>
      <c r="G374" s="19">
        <v>21000</v>
      </c>
      <c r="H374" s="20">
        <f t="shared" si="66"/>
        <v>86099.999999999985</v>
      </c>
    </row>
    <row r="375" spans="1:9" s="171" customFormat="1" ht="15" customHeight="1">
      <c r="A375" s="257"/>
      <c r="B375" s="18" t="s">
        <v>11</v>
      </c>
      <c r="C375" s="18"/>
      <c r="D375" s="18"/>
      <c r="E375" s="192" t="s">
        <v>52</v>
      </c>
      <c r="F375" s="18" t="s">
        <v>1</v>
      </c>
      <c r="G375" s="110">
        <v>57750</v>
      </c>
      <c r="H375" s="111">
        <f t="shared" si="66"/>
        <v>5775</v>
      </c>
      <c r="I375" s="175">
        <f>230*17000</f>
        <v>3910000</v>
      </c>
    </row>
    <row r="376" spans="1:9" s="171" customFormat="1" ht="15" customHeight="1">
      <c r="A376" s="257"/>
      <c r="B376" s="21" t="s">
        <v>47</v>
      </c>
      <c r="C376" s="43"/>
      <c r="D376" s="18"/>
      <c r="E376" s="193" t="s">
        <v>52</v>
      </c>
      <c r="F376" s="18" t="s">
        <v>1</v>
      </c>
      <c r="G376" s="110">
        <v>36750</v>
      </c>
      <c r="H376" s="111">
        <f t="shared" si="66"/>
        <v>3675</v>
      </c>
    </row>
    <row r="377" spans="1:9" s="171" customFormat="1" ht="15" customHeight="1">
      <c r="A377" s="173"/>
      <c r="B377" s="21" t="s">
        <v>25</v>
      </c>
      <c r="C377" s="21"/>
      <c r="D377" s="21"/>
      <c r="E377" s="212"/>
      <c r="F377" s="22"/>
      <c r="G377" s="21"/>
      <c r="H377" s="190">
        <f>130426+711</f>
        <v>131137</v>
      </c>
    </row>
    <row r="378" spans="1:9" s="120" customFormat="1" ht="20.399999999999999" customHeight="1">
      <c r="A378" s="166"/>
      <c r="B378" s="21"/>
      <c r="C378" s="21"/>
      <c r="D378" s="21"/>
      <c r="E378" s="212"/>
      <c r="F378" s="22"/>
      <c r="G378" s="21"/>
      <c r="H378" s="5">
        <f>SUM(H368:H377)</f>
        <v>3944000</v>
      </c>
      <c r="I378" s="165">
        <f>H378-I370</f>
        <v>0</v>
      </c>
    </row>
    <row r="379" spans="1:9" s="120" customFormat="1" ht="20.399999999999999" customHeight="1">
      <c r="A379" s="250" t="s">
        <v>140</v>
      </c>
      <c r="B379" s="103" t="s">
        <v>20</v>
      </c>
      <c r="C379" s="176">
        <f>E379/D379</f>
        <v>0.11982758620689656</v>
      </c>
      <c r="D379" s="163">
        <v>232</v>
      </c>
      <c r="E379" s="155" t="s">
        <v>112</v>
      </c>
      <c r="F379" s="177" t="s">
        <v>1</v>
      </c>
      <c r="G379" s="178">
        <v>21525</v>
      </c>
      <c r="H379" s="179">
        <f>E379*G379</f>
        <v>598395</v>
      </c>
      <c r="I379" s="165"/>
    </row>
    <row r="380" spans="1:9" s="120" customFormat="1" ht="20.399999999999999" customHeight="1">
      <c r="A380" s="251"/>
      <c r="B380" s="177" t="s">
        <v>125</v>
      </c>
      <c r="C380" s="180">
        <f t="shared" ref="C380:C382" si="67">E380/D380</f>
        <v>7.8879310344827591E-2</v>
      </c>
      <c r="D380" s="163">
        <v>232</v>
      </c>
      <c r="E380" s="155" t="s">
        <v>134</v>
      </c>
      <c r="F380" s="163" t="s">
        <v>1</v>
      </c>
      <c r="G380" s="178">
        <v>129150</v>
      </c>
      <c r="H380" s="182">
        <f>G380*E380</f>
        <v>2363445</v>
      </c>
      <c r="I380" s="165"/>
    </row>
    <row r="381" spans="1:9" s="120" customFormat="1" ht="20.399999999999999" customHeight="1">
      <c r="A381" s="251"/>
      <c r="B381" s="45" t="s">
        <v>121</v>
      </c>
      <c r="C381" s="124">
        <f t="shared" si="67"/>
        <v>4.3103448275862068E-3</v>
      </c>
      <c r="D381" s="141">
        <v>232</v>
      </c>
      <c r="E381" s="140">
        <v>1</v>
      </c>
      <c r="F381" s="45" t="s">
        <v>3</v>
      </c>
      <c r="G381" s="110">
        <v>137550</v>
      </c>
      <c r="H381" s="111">
        <f t="shared" ref="H381" si="68">E381*G381</f>
        <v>137550</v>
      </c>
      <c r="I381" s="165"/>
    </row>
    <row r="382" spans="1:9" s="120" customFormat="1" ht="20.399999999999999" customHeight="1">
      <c r="A382" s="251"/>
      <c r="B382" s="163" t="s">
        <v>6</v>
      </c>
      <c r="C382" s="183">
        <f t="shared" si="67"/>
        <v>0.56465517241379315</v>
      </c>
      <c r="D382" s="163">
        <v>232</v>
      </c>
      <c r="E382" s="156" t="s">
        <v>126</v>
      </c>
      <c r="F382" s="163" t="s">
        <v>1</v>
      </c>
      <c r="G382" s="181">
        <v>3510</v>
      </c>
      <c r="H382" s="182">
        <f>E382*G382</f>
        <v>459810</v>
      </c>
      <c r="I382" s="165">
        <f>232*17000</f>
        <v>3944000</v>
      </c>
    </row>
    <row r="383" spans="1:9" s="120" customFormat="1" ht="20.399999999999999" customHeight="1">
      <c r="A383" s="251"/>
      <c r="B383" s="163" t="s">
        <v>127</v>
      </c>
      <c r="C383" s="183"/>
      <c r="D383" s="163"/>
      <c r="E383" s="156" t="s">
        <v>129</v>
      </c>
      <c r="F383" s="163" t="s">
        <v>128</v>
      </c>
      <c r="G383" s="181">
        <v>37800</v>
      </c>
      <c r="H383" s="182">
        <f>E383*G383</f>
        <v>75600</v>
      </c>
      <c r="I383" s="165"/>
    </row>
    <row r="384" spans="1:9" s="120" customFormat="1" ht="20.399999999999999" customHeight="1">
      <c r="A384" s="251"/>
      <c r="B384" s="163" t="s">
        <v>130</v>
      </c>
      <c r="C384" s="183"/>
      <c r="D384" s="163"/>
      <c r="E384" s="156" t="s">
        <v>26</v>
      </c>
      <c r="F384" s="163" t="s">
        <v>3</v>
      </c>
      <c r="G384" s="181">
        <v>44280</v>
      </c>
      <c r="H384" s="182">
        <f>E384*G384</f>
        <v>44280</v>
      </c>
      <c r="I384" s="165"/>
    </row>
    <row r="385" spans="1:9" s="120" customFormat="1" ht="20.399999999999999" customHeight="1">
      <c r="A385" s="251"/>
      <c r="B385" s="163" t="s">
        <v>131</v>
      </c>
      <c r="C385" s="183"/>
      <c r="D385" s="163"/>
      <c r="E385" s="156" t="s">
        <v>142</v>
      </c>
      <c r="F385" s="163" t="s">
        <v>1</v>
      </c>
      <c r="G385" s="181">
        <v>24150</v>
      </c>
      <c r="H385" s="182">
        <f t="shared" ref="H385:H387" si="69">E385*G385</f>
        <v>125580</v>
      </c>
      <c r="I385" s="165">
        <f>H389-I382</f>
        <v>0</v>
      </c>
    </row>
    <row r="386" spans="1:9" s="120" customFormat="1" ht="20.399999999999999" customHeight="1">
      <c r="A386" s="251"/>
      <c r="B386" s="163" t="s">
        <v>47</v>
      </c>
      <c r="C386" s="180"/>
      <c r="D386" s="163"/>
      <c r="E386" s="156" t="s">
        <v>52</v>
      </c>
      <c r="F386" s="163" t="s">
        <v>3</v>
      </c>
      <c r="G386" s="110">
        <v>36750</v>
      </c>
      <c r="H386" s="111">
        <f t="shared" si="69"/>
        <v>3675</v>
      </c>
      <c r="I386" s="165"/>
    </row>
    <row r="387" spans="1:9" s="120" customFormat="1" ht="20.399999999999999" customHeight="1">
      <c r="A387" s="194"/>
      <c r="B387" s="163" t="s">
        <v>11</v>
      </c>
      <c r="C387" s="164"/>
      <c r="D387" s="163"/>
      <c r="E387" s="215">
        <v>0.1</v>
      </c>
      <c r="F387" s="163" t="s">
        <v>1</v>
      </c>
      <c r="G387" s="110">
        <v>57750</v>
      </c>
      <c r="H387" s="111">
        <f t="shared" si="69"/>
        <v>5775</v>
      </c>
      <c r="I387" s="165"/>
    </row>
    <row r="388" spans="1:9" s="120" customFormat="1" ht="20.399999999999999" customHeight="1">
      <c r="A388" s="194"/>
      <c r="B388" s="184" t="s">
        <v>25</v>
      </c>
      <c r="C388" s="184"/>
      <c r="D388" s="184"/>
      <c r="E388" s="213"/>
      <c r="F388" s="186"/>
      <c r="G388" s="184"/>
      <c r="H388" s="187">
        <f>130426-536</f>
        <v>129890</v>
      </c>
      <c r="I388" s="165"/>
    </row>
    <row r="389" spans="1:9" s="120" customFormat="1" ht="20.399999999999999" customHeight="1">
      <c r="A389" s="166"/>
      <c r="B389" s="195"/>
      <c r="C389" s="167"/>
      <c r="D389" s="195"/>
      <c r="E389" s="214"/>
      <c r="F389" s="195"/>
      <c r="G389" s="196"/>
      <c r="H389" s="197">
        <f>SUM(H379:H388)</f>
        <v>3944000</v>
      </c>
      <c r="I389" s="165">
        <f>I382-H389</f>
        <v>0</v>
      </c>
    </row>
    <row r="390" spans="1:9" s="120" customFormat="1" ht="15" customHeight="1">
      <c r="A390" s="243" t="s">
        <v>141</v>
      </c>
      <c r="B390" s="105" t="s">
        <v>20</v>
      </c>
      <c r="C390" s="122">
        <f>E390/D390</f>
        <v>0.11982758620689656</v>
      </c>
      <c r="D390" s="45">
        <v>232</v>
      </c>
      <c r="E390" s="154" t="s">
        <v>112</v>
      </c>
      <c r="F390" s="105" t="s">
        <v>1</v>
      </c>
      <c r="G390" s="123">
        <v>21525</v>
      </c>
      <c r="H390" s="107">
        <f>E390*G390</f>
        <v>598395</v>
      </c>
      <c r="I390" s="189"/>
    </row>
    <row r="391" spans="1:9" s="120" customFormat="1" ht="15" customHeight="1">
      <c r="A391" s="243"/>
      <c r="B391" s="45" t="s">
        <v>91</v>
      </c>
      <c r="C391" s="124">
        <f t="shared" ref="C391:C392" si="70">E391/D391</f>
        <v>7.1120689655172417E-2</v>
      </c>
      <c r="D391" s="45">
        <v>232</v>
      </c>
      <c r="E391" s="140">
        <v>16.5</v>
      </c>
      <c r="F391" s="45" t="s">
        <v>1</v>
      </c>
      <c r="G391" s="110">
        <v>140700</v>
      </c>
      <c r="H391" s="111">
        <f>E391*G391-1892</f>
        <v>2319658</v>
      </c>
    </row>
    <row r="392" spans="1:9" s="120" customFormat="1" ht="15" customHeight="1">
      <c r="A392" s="243"/>
      <c r="B392" s="45" t="s">
        <v>49</v>
      </c>
      <c r="C392" s="125">
        <f t="shared" si="70"/>
        <v>0.56465517241379315</v>
      </c>
      <c r="D392" s="45">
        <v>232</v>
      </c>
      <c r="E392" s="206" t="s">
        <v>126</v>
      </c>
      <c r="F392" s="45" t="s">
        <v>1</v>
      </c>
      <c r="G392" s="110">
        <v>3456</v>
      </c>
      <c r="H392" s="111">
        <f>E392*G392</f>
        <v>452736</v>
      </c>
    </row>
    <row r="393" spans="1:9" s="120" customFormat="1" ht="15" customHeight="1">
      <c r="A393" s="243"/>
      <c r="B393" s="45" t="s">
        <v>86</v>
      </c>
      <c r="C393" s="125"/>
      <c r="D393" s="45">
        <v>232</v>
      </c>
      <c r="E393" s="206" t="s">
        <v>54</v>
      </c>
      <c r="F393" s="45" t="s">
        <v>1</v>
      </c>
      <c r="G393" s="110">
        <v>78750</v>
      </c>
      <c r="H393" s="111">
        <f t="shared" ref="H393:H397" si="71">E393*G393</f>
        <v>236250</v>
      </c>
    </row>
    <row r="394" spans="1:9" s="120" customFormat="1" ht="15" customHeight="1">
      <c r="A394" s="188"/>
      <c r="B394" s="45" t="s">
        <v>87</v>
      </c>
      <c r="C394" s="125"/>
      <c r="D394" s="45">
        <v>232</v>
      </c>
      <c r="E394" s="206" t="s">
        <v>62</v>
      </c>
      <c r="F394" s="45" t="s">
        <v>3</v>
      </c>
      <c r="G394" s="110">
        <v>18900</v>
      </c>
      <c r="H394" s="111">
        <f t="shared" si="71"/>
        <v>190890</v>
      </c>
    </row>
    <row r="395" spans="1:9" s="120" customFormat="1" ht="15" customHeight="1">
      <c r="A395" s="188"/>
      <c r="B395" s="45" t="s">
        <v>88</v>
      </c>
      <c r="C395" s="45"/>
      <c r="D395" s="45">
        <v>232</v>
      </c>
      <c r="E395" s="206" t="s">
        <v>52</v>
      </c>
      <c r="F395" s="45" t="s">
        <v>1</v>
      </c>
      <c r="G395" s="110">
        <v>63000</v>
      </c>
      <c r="H395" s="111">
        <f t="shared" si="71"/>
        <v>6300</v>
      </c>
    </row>
    <row r="396" spans="1:9" s="120" customFormat="1" ht="15" customHeight="1">
      <c r="A396" s="188"/>
      <c r="B396" s="45" t="s">
        <v>80</v>
      </c>
      <c r="C396" s="126"/>
      <c r="D396" s="45">
        <v>232</v>
      </c>
      <c r="E396" s="206" t="s">
        <v>52</v>
      </c>
      <c r="F396" s="45" t="s">
        <v>1</v>
      </c>
      <c r="G396" s="110">
        <v>57750</v>
      </c>
      <c r="H396" s="111">
        <f t="shared" si="71"/>
        <v>5775</v>
      </c>
    </row>
    <row r="397" spans="1:9" s="120" customFormat="1" ht="15" customHeight="1">
      <c r="A397" s="188"/>
      <c r="B397" s="163" t="s">
        <v>47</v>
      </c>
      <c r="C397" s="180"/>
      <c r="D397" s="163"/>
      <c r="E397" s="156" t="s">
        <v>52</v>
      </c>
      <c r="F397" s="163" t="s">
        <v>3</v>
      </c>
      <c r="G397" s="110">
        <v>36750</v>
      </c>
      <c r="H397" s="111">
        <f t="shared" si="71"/>
        <v>3675</v>
      </c>
    </row>
    <row r="398" spans="1:9" s="120" customFormat="1" ht="15" customHeight="1">
      <c r="A398" s="188"/>
      <c r="B398" s="115" t="s">
        <v>25</v>
      </c>
      <c r="C398" s="115"/>
      <c r="D398" s="45">
        <v>232</v>
      </c>
      <c r="E398" s="209"/>
      <c r="F398" s="116"/>
      <c r="G398" s="115"/>
      <c r="H398" s="119">
        <f>130426-105</f>
        <v>130321</v>
      </c>
    </row>
    <row r="399" spans="1:9" s="134" customFormat="1" ht="19.8" customHeight="1">
      <c r="A399" s="168"/>
      <c r="B399" s="148"/>
      <c r="C399" s="148"/>
      <c r="D399" s="148"/>
      <c r="E399" s="157"/>
      <c r="F399" s="169"/>
      <c r="G399" s="148"/>
      <c r="H399" s="170">
        <f>SUM(H390:H398)</f>
        <v>3944000</v>
      </c>
      <c r="I399" s="151">
        <f>H399-I382</f>
        <v>0</v>
      </c>
    </row>
    <row r="400" spans="1:9">
      <c r="A400" s="100"/>
      <c r="B400" s="100"/>
      <c r="C400" s="100"/>
      <c r="D400" s="100"/>
      <c r="E400" s="216"/>
    </row>
    <row r="401" spans="1:8" ht="18">
      <c r="A401" s="244" t="s">
        <v>29</v>
      </c>
      <c r="B401" s="244"/>
      <c r="C401" s="244" t="s">
        <v>30</v>
      </c>
      <c r="D401" s="244"/>
      <c r="E401" s="244"/>
      <c r="F401" s="1"/>
      <c r="G401" s="244" t="s">
        <v>31</v>
      </c>
      <c r="H401" s="244"/>
    </row>
    <row r="402" spans="1:8" ht="18">
      <c r="A402" s="41"/>
      <c r="B402" s="41"/>
      <c r="C402" s="41"/>
      <c r="D402" s="41"/>
      <c r="E402" s="41"/>
      <c r="F402" s="1"/>
      <c r="G402" s="41"/>
      <c r="H402" s="41"/>
    </row>
    <row r="403" spans="1:8" ht="18">
      <c r="A403" s="41"/>
      <c r="B403" s="41"/>
      <c r="C403" s="41"/>
      <c r="D403" s="41"/>
      <c r="E403" s="41"/>
      <c r="F403" s="1"/>
      <c r="G403" s="41"/>
      <c r="H403" s="41"/>
    </row>
    <row r="404" spans="1:8" ht="18">
      <c r="A404" s="41"/>
      <c r="B404" s="41"/>
      <c r="C404" s="41"/>
      <c r="D404" s="41"/>
      <c r="E404" s="41"/>
      <c r="F404" s="1"/>
      <c r="G404" s="41"/>
      <c r="H404" s="41"/>
    </row>
    <row r="405" spans="1:8" ht="18">
      <c r="A405" s="41"/>
      <c r="B405" s="41"/>
      <c r="C405" s="41"/>
      <c r="D405" s="41"/>
      <c r="E405" s="41"/>
      <c r="F405" s="1"/>
      <c r="G405" s="41"/>
      <c r="H405" s="41"/>
    </row>
    <row r="406" spans="1:8" ht="18">
      <c r="A406" s="41"/>
      <c r="B406" s="41"/>
      <c r="C406" s="41"/>
      <c r="D406" s="41"/>
      <c r="E406" s="41"/>
      <c r="F406" s="1"/>
      <c r="G406" s="41"/>
      <c r="H406" s="41"/>
    </row>
    <row r="407" spans="1:8" ht="18">
      <c r="A407" s="41"/>
      <c r="B407" s="41"/>
      <c r="C407" s="41"/>
      <c r="D407" s="41"/>
      <c r="E407" s="41"/>
      <c r="F407" s="1"/>
      <c r="G407" s="41"/>
      <c r="H407" s="41"/>
    </row>
    <row r="408" spans="1:8" ht="18">
      <c r="A408" s="41"/>
      <c r="B408" s="41"/>
      <c r="C408" s="41"/>
      <c r="D408" s="41"/>
      <c r="E408" s="41"/>
      <c r="F408" s="1"/>
      <c r="G408" s="41"/>
      <c r="H408" s="41"/>
    </row>
    <row r="409" spans="1:8" ht="18">
      <c r="A409" s="41"/>
      <c r="B409" s="41"/>
      <c r="C409" s="41"/>
      <c r="D409" s="41"/>
      <c r="E409" s="41"/>
      <c r="F409" s="1"/>
      <c r="G409" s="41"/>
      <c r="H409" s="41"/>
    </row>
    <row r="410" spans="1:8" ht="18">
      <c r="A410" s="41"/>
      <c r="B410" s="41"/>
      <c r="C410" s="41"/>
      <c r="D410" s="41"/>
      <c r="E410" s="41"/>
      <c r="F410" s="1"/>
      <c r="G410" s="41"/>
      <c r="H410" s="41"/>
    </row>
    <row r="411" spans="1:8" ht="18">
      <c r="A411" s="41"/>
      <c r="B411" s="41"/>
      <c r="C411" s="41"/>
      <c r="D411" s="41"/>
      <c r="E411" s="41"/>
      <c r="F411" s="1"/>
      <c r="G411" s="41"/>
      <c r="H411" s="41"/>
    </row>
    <row r="412" spans="1:8" ht="18">
      <c r="A412" s="41"/>
      <c r="B412" s="41"/>
      <c r="C412" s="41"/>
      <c r="D412" s="41"/>
      <c r="E412" s="41"/>
      <c r="F412" s="1"/>
      <c r="G412" s="41"/>
      <c r="H412" s="41"/>
    </row>
    <row r="413" spans="1:8" ht="18">
      <c r="A413" s="41"/>
      <c r="B413" s="41"/>
      <c r="C413" s="41"/>
      <c r="D413" s="41"/>
      <c r="E413" s="41"/>
      <c r="F413" s="1"/>
      <c r="G413" s="41"/>
      <c r="H413" s="41"/>
    </row>
    <row r="414" spans="1:8" ht="18">
      <c r="A414" s="41"/>
      <c r="B414" s="41"/>
      <c r="C414" s="41"/>
      <c r="D414" s="41"/>
      <c r="E414" s="41"/>
      <c r="F414" s="1"/>
      <c r="G414" s="41"/>
      <c r="H414" s="41"/>
    </row>
    <row r="415" spans="1:8" ht="18">
      <c r="A415" s="41"/>
      <c r="B415" s="41"/>
      <c r="C415" s="41"/>
      <c r="D415" s="41"/>
      <c r="E415" s="41"/>
      <c r="F415" s="1"/>
      <c r="G415" s="41"/>
      <c r="H415" s="41"/>
    </row>
    <row r="416" spans="1:8" ht="18">
      <c r="A416" s="41"/>
      <c r="B416" s="41"/>
      <c r="C416" s="41"/>
      <c r="D416" s="41"/>
      <c r="E416" s="41"/>
      <c r="F416" s="1"/>
      <c r="G416" s="41"/>
      <c r="H416" s="41"/>
    </row>
    <row r="417" spans="1:8" ht="18">
      <c r="A417" s="41"/>
      <c r="B417" s="41"/>
      <c r="C417" s="41"/>
      <c r="D417" s="41"/>
      <c r="E417" s="41"/>
      <c r="F417" s="1"/>
      <c r="G417" s="41"/>
      <c r="H417" s="41"/>
    </row>
    <row r="418" spans="1:8" ht="18">
      <c r="A418" s="41"/>
      <c r="B418" s="41"/>
      <c r="C418" s="41"/>
      <c r="D418" s="41"/>
      <c r="E418" s="41"/>
      <c r="F418" s="1"/>
      <c r="G418" s="41"/>
      <c r="H418" s="41"/>
    </row>
    <row r="419" spans="1:8" ht="18">
      <c r="A419" s="41"/>
      <c r="B419" s="41"/>
      <c r="C419" s="41"/>
      <c r="D419" s="41"/>
      <c r="E419" s="41"/>
      <c r="F419" s="1"/>
      <c r="G419" s="41"/>
      <c r="H419" s="41"/>
    </row>
    <row r="420" spans="1:8" ht="18">
      <c r="A420" s="41"/>
      <c r="B420" s="41"/>
      <c r="C420" s="41"/>
      <c r="D420" s="41"/>
      <c r="E420" s="41"/>
      <c r="F420" s="1"/>
      <c r="G420" s="41"/>
      <c r="H420" s="41"/>
    </row>
    <row r="421" spans="1:8" ht="18">
      <c r="A421" s="41"/>
      <c r="B421" s="41"/>
      <c r="C421" s="41"/>
      <c r="D421" s="41"/>
      <c r="E421" s="41"/>
      <c r="F421" s="1"/>
      <c r="G421" s="41"/>
      <c r="H421" s="41"/>
    </row>
    <row r="422" spans="1:8" ht="18">
      <c r="A422" s="41"/>
      <c r="B422" s="41"/>
      <c r="C422" s="41"/>
      <c r="D422" s="41"/>
      <c r="E422" s="41"/>
      <c r="F422" s="1"/>
      <c r="G422" s="41"/>
      <c r="H422" s="41"/>
    </row>
    <row r="423" spans="1:8" ht="18">
      <c r="A423" s="41"/>
      <c r="B423" s="41"/>
      <c r="C423" s="41"/>
      <c r="D423" s="41"/>
      <c r="E423" s="41"/>
      <c r="F423" s="1"/>
      <c r="G423" s="41"/>
      <c r="H423" s="41"/>
    </row>
    <row r="424" spans="1:8" ht="18">
      <c r="A424" s="41"/>
      <c r="B424" s="41"/>
      <c r="C424" s="41"/>
      <c r="D424" s="41"/>
      <c r="E424" s="41"/>
      <c r="F424" s="1"/>
      <c r="G424" s="41"/>
      <c r="H424" s="41"/>
    </row>
    <row r="425" spans="1:8" ht="18">
      <c r="A425" s="41"/>
      <c r="B425" s="41"/>
      <c r="C425" s="41"/>
      <c r="D425" s="41"/>
      <c r="E425" s="41"/>
      <c r="F425" s="1"/>
      <c r="G425" s="41"/>
      <c r="H425" s="41"/>
    </row>
    <row r="426" spans="1:8" ht="18">
      <c r="A426" s="41"/>
      <c r="B426" s="41"/>
      <c r="C426" s="41"/>
      <c r="D426" s="41"/>
      <c r="E426" s="41"/>
      <c r="F426" s="1"/>
      <c r="G426" s="41"/>
      <c r="H426" s="41"/>
    </row>
    <row r="427" spans="1:8" ht="18">
      <c r="A427" s="41"/>
      <c r="B427" s="41"/>
      <c r="C427" s="41"/>
      <c r="D427" s="41"/>
      <c r="E427" s="41"/>
      <c r="F427" s="1"/>
      <c r="G427" s="41"/>
      <c r="H427" s="41"/>
    </row>
    <row r="428" spans="1:8" ht="18">
      <c r="A428" s="41"/>
      <c r="B428" s="41"/>
      <c r="C428" s="41"/>
      <c r="D428" s="41"/>
      <c r="E428" s="41"/>
      <c r="F428" s="1"/>
      <c r="G428" s="41"/>
      <c r="H428" s="41"/>
    </row>
  </sheetData>
  <mergeCells count="59">
    <mergeCell ref="A290:A297"/>
    <mergeCell ref="A300:A303"/>
    <mergeCell ref="A310:B310"/>
    <mergeCell ref="C310:E310"/>
    <mergeCell ref="G310:H310"/>
    <mergeCell ref="A256:H256"/>
    <mergeCell ref="B257:H257"/>
    <mergeCell ref="A259:A268"/>
    <mergeCell ref="A269:A277"/>
    <mergeCell ref="A280:A288"/>
    <mergeCell ref="A379:A386"/>
    <mergeCell ref="A390:A393"/>
    <mergeCell ref="A401:B401"/>
    <mergeCell ref="C401:E401"/>
    <mergeCell ref="G401:H401"/>
    <mergeCell ref="A346:H346"/>
    <mergeCell ref="B347:H347"/>
    <mergeCell ref="A349:A358"/>
    <mergeCell ref="A359:A366"/>
    <mergeCell ref="A369:A376"/>
    <mergeCell ref="A228:A231"/>
    <mergeCell ref="A239:B239"/>
    <mergeCell ref="C239:E239"/>
    <mergeCell ref="G239:H239"/>
    <mergeCell ref="A184:H184"/>
    <mergeCell ref="B185:H185"/>
    <mergeCell ref="A187:A197"/>
    <mergeCell ref="A198:A205"/>
    <mergeCell ref="A208:A216"/>
    <mergeCell ref="A124:H124"/>
    <mergeCell ref="B125:H125"/>
    <mergeCell ref="A126:A133"/>
    <mergeCell ref="A136:A144"/>
    <mergeCell ref="A218:A225"/>
    <mergeCell ref="A146:A153"/>
    <mergeCell ref="A156:A159"/>
    <mergeCell ref="A167:B167"/>
    <mergeCell ref="C167:E167"/>
    <mergeCell ref="G167:H167"/>
    <mergeCell ref="A98:A101"/>
    <mergeCell ref="A109:B109"/>
    <mergeCell ref="C109:E109"/>
    <mergeCell ref="G109:H109"/>
    <mergeCell ref="A66:H66"/>
    <mergeCell ref="B67:H67"/>
    <mergeCell ref="A68:A75"/>
    <mergeCell ref="A78:A86"/>
    <mergeCell ref="A88:A95"/>
    <mergeCell ref="A46:A49"/>
    <mergeCell ref="A58:B58"/>
    <mergeCell ref="C58:E58"/>
    <mergeCell ref="G58:H58"/>
    <mergeCell ref="A2:H2"/>
    <mergeCell ref="B3:H3"/>
    <mergeCell ref="A4:A11"/>
    <mergeCell ref="A14:A22"/>
    <mergeCell ref="A38:A41"/>
    <mergeCell ref="A35:A37"/>
    <mergeCell ref="A24:A32"/>
  </mergeCells>
  <phoneticPr fontId="13" type="noConversion"/>
  <pageMargins left="0.39370078740157483" right="0.31496062992125984" top="0.4330708661417322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64447-DDB0-43E9-9DFA-60F69A90E488}">
  <dimension ref="A2:H230"/>
  <sheetViews>
    <sheetView tabSelected="1" zoomScaleNormal="100" workbookViewId="0">
      <selection activeCell="I4" sqref="I4"/>
    </sheetView>
  </sheetViews>
  <sheetFormatPr defaultRowHeight="13.8"/>
  <cols>
    <col min="1" max="1" width="10.3984375" customWidth="1"/>
    <col min="2" max="2" width="31.19921875" customWidth="1"/>
    <col min="3" max="3" width="8.8984375" customWidth="1"/>
    <col min="4" max="4" width="7.296875" customWidth="1"/>
    <col min="5" max="5" width="7.296875" style="54" customWidth="1"/>
    <col min="6" max="6" width="8.69921875" customWidth="1"/>
    <col min="7" max="7" width="9.8984375" customWidth="1"/>
    <col min="8" max="8" width="13.19921875" customWidth="1"/>
  </cols>
  <sheetData>
    <row r="2" spans="1:8" ht="15.6">
      <c r="A2" s="6" t="s">
        <v>0</v>
      </c>
      <c r="B2" s="6"/>
    </row>
    <row r="3" spans="1:8" ht="15.6">
      <c r="A3" s="244" t="s">
        <v>34</v>
      </c>
      <c r="B3" s="244"/>
      <c r="C3" s="244"/>
      <c r="D3" s="244"/>
      <c r="E3" s="244"/>
      <c r="F3" s="244"/>
      <c r="G3" s="244"/>
      <c r="H3" s="244"/>
    </row>
    <row r="4" spans="1:8" ht="15.6">
      <c r="A4" s="272" t="s">
        <v>105</v>
      </c>
      <c r="B4" s="272"/>
      <c r="C4" s="272"/>
      <c r="D4" s="272"/>
      <c r="E4" s="272"/>
      <c r="F4" s="272"/>
      <c r="G4" s="272"/>
      <c r="H4" s="272"/>
    </row>
    <row r="5" spans="1:8" ht="40.200000000000003">
      <c r="A5" s="7" t="s">
        <v>13</v>
      </c>
      <c r="B5" s="8" t="s">
        <v>14</v>
      </c>
      <c r="C5" s="9" t="s">
        <v>15</v>
      </c>
      <c r="D5" s="10" t="s">
        <v>16</v>
      </c>
      <c r="E5" s="50" t="s">
        <v>17</v>
      </c>
      <c r="F5" s="11" t="s">
        <v>4</v>
      </c>
      <c r="G5" s="7" t="s">
        <v>18</v>
      </c>
      <c r="H5" s="7" t="s">
        <v>19</v>
      </c>
    </row>
    <row r="6" spans="1:8" ht="18">
      <c r="A6" s="264" t="s">
        <v>107</v>
      </c>
      <c r="B6" s="2" t="s">
        <v>20</v>
      </c>
      <c r="C6" s="87">
        <f>E6/D6</f>
        <v>0.1200892857142857</v>
      </c>
      <c r="D6" s="3">
        <v>224</v>
      </c>
      <c r="E6" s="86" t="s">
        <v>95</v>
      </c>
      <c r="F6" s="3" t="s">
        <v>1</v>
      </c>
      <c r="G6" s="4">
        <v>21525</v>
      </c>
      <c r="H6" s="5">
        <f>E6*G6</f>
        <v>579022.5</v>
      </c>
    </row>
    <row r="7" spans="1:8" ht="18">
      <c r="A7" s="265"/>
      <c r="B7" s="83" t="s">
        <v>71</v>
      </c>
      <c r="C7" s="89">
        <f t="shared" ref="C7:C9" si="0">E7/D7</f>
        <v>4.9999999999999996E-2</v>
      </c>
      <c r="D7" s="75">
        <v>224</v>
      </c>
      <c r="E7" s="85" t="s">
        <v>110</v>
      </c>
      <c r="F7" s="75" t="s">
        <v>1</v>
      </c>
      <c r="G7" s="76">
        <v>156600</v>
      </c>
      <c r="H7" s="17">
        <f t="shared" ref="H7:H10" si="1">E7*G7</f>
        <v>1753920</v>
      </c>
    </row>
    <row r="8" spans="1:8" ht="18">
      <c r="A8" s="266"/>
      <c r="B8" s="78" t="s">
        <v>72</v>
      </c>
      <c r="C8" s="88">
        <f t="shared" si="0"/>
        <v>6.3839285714285723E-2</v>
      </c>
      <c r="D8" s="69">
        <v>224</v>
      </c>
      <c r="E8" s="82" t="s">
        <v>106</v>
      </c>
      <c r="F8" s="69" t="s">
        <v>1</v>
      </c>
      <c r="G8" s="72">
        <v>21000</v>
      </c>
      <c r="H8" s="17">
        <f t="shared" si="1"/>
        <v>300300</v>
      </c>
    </row>
    <row r="9" spans="1:8" ht="18">
      <c r="A9" s="266"/>
      <c r="B9" s="77" t="s">
        <v>23</v>
      </c>
      <c r="C9" s="88">
        <f t="shared" si="0"/>
        <v>2.7232142857142854E-2</v>
      </c>
      <c r="D9" s="69">
        <v>224</v>
      </c>
      <c r="E9" s="82" t="s">
        <v>111</v>
      </c>
      <c r="F9" s="69" t="s">
        <v>1</v>
      </c>
      <c r="G9" s="72">
        <v>125580</v>
      </c>
      <c r="H9" s="17">
        <f t="shared" si="1"/>
        <v>766038</v>
      </c>
    </row>
    <row r="10" spans="1:8" ht="18">
      <c r="A10" s="266"/>
      <c r="B10" s="77" t="s">
        <v>73</v>
      </c>
      <c r="C10" s="75"/>
      <c r="D10" s="69">
        <v>224</v>
      </c>
      <c r="E10" s="279">
        <v>0.1</v>
      </c>
      <c r="F10" s="69" t="s">
        <v>1</v>
      </c>
      <c r="G10" s="72">
        <v>125580</v>
      </c>
      <c r="H10" s="17">
        <f t="shared" si="1"/>
        <v>12558</v>
      </c>
    </row>
    <row r="11" spans="1:8" ht="18">
      <c r="A11" s="266"/>
      <c r="B11" s="77" t="s">
        <v>83</v>
      </c>
      <c r="C11" s="69"/>
      <c r="D11" s="69">
        <v>224</v>
      </c>
      <c r="E11" s="69"/>
      <c r="F11" s="69" t="s">
        <v>24</v>
      </c>
      <c r="G11" s="72">
        <v>125580</v>
      </c>
      <c r="H11" s="17">
        <f>110250+136500</f>
        <v>246750</v>
      </c>
    </row>
    <row r="12" spans="1:8" ht="18">
      <c r="A12" s="266"/>
      <c r="B12" s="79" t="s">
        <v>25</v>
      </c>
      <c r="C12" s="21"/>
      <c r="D12" s="21"/>
      <c r="E12" s="58"/>
      <c r="F12" s="21"/>
      <c r="G12" s="40"/>
      <c r="H12" s="35">
        <v>136000</v>
      </c>
    </row>
    <row r="13" spans="1:8" ht="18">
      <c r="A13" s="267"/>
      <c r="B13" s="260"/>
      <c r="C13" s="261"/>
      <c r="D13" s="261"/>
      <c r="E13" s="261"/>
      <c r="F13" s="261"/>
      <c r="G13" s="262"/>
      <c r="H13" s="28">
        <f>SUM(H6:H12)</f>
        <v>3794588.5</v>
      </c>
    </row>
    <row r="14" spans="1:8" ht="18">
      <c r="A14" s="258" t="s">
        <v>108</v>
      </c>
      <c r="B14" s="12" t="s">
        <v>20</v>
      </c>
      <c r="C14" s="12">
        <v>120</v>
      </c>
      <c r="D14" s="12">
        <v>225</v>
      </c>
      <c r="E14" s="55" t="s">
        <v>38</v>
      </c>
      <c r="F14" s="12" t="s">
        <v>1</v>
      </c>
      <c r="G14" s="13">
        <v>21525</v>
      </c>
      <c r="H14" s="14">
        <f>E14*G14</f>
        <v>581175</v>
      </c>
    </row>
    <row r="15" spans="1:8" ht="18">
      <c r="A15" s="259"/>
      <c r="B15" s="18" t="s">
        <v>5</v>
      </c>
      <c r="C15" s="18">
        <v>63</v>
      </c>
      <c r="D15" s="18">
        <v>225</v>
      </c>
      <c r="E15" s="56" t="s">
        <v>68</v>
      </c>
      <c r="F15" s="18" t="s">
        <v>1</v>
      </c>
      <c r="G15" s="19">
        <v>136500</v>
      </c>
      <c r="H15" s="20">
        <f>E15*G15</f>
        <v>2006550</v>
      </c>
    </row>
    <row r="16" spans="1:8" ht="18">
      <c r="A16" s="259"/>
      <c r="B16" s="18" t="s">
        <v>42</v>
      </c>
      <c r="C16" s="18">
        <v>0.3</v>
      </c>
      <c r="D16" s="18">
        <v>225</v>
      </c>
      <c r="E16" s="56" t="s">
        <v>43</v>
      </c>
      <c r="F16" s="18" t="s">
        <v>1</v>
      </c>
      <c r="G16" s="19">
        <v>306600</v>
      </c>
      <c r="H16" s="20">
        <f>E16*G16</f>
        <v>214620</v>
      </c>
    </row>
    <row r="17" spans="1:8" ht="18">
      <c r="A17" s="259"/>
      <c r="B17" s="18" t="s">
        <v>44</v>
      </c>
      <c r="C17" s="18">
        <v>37</v>
      </c>
      <c r="D17" s="18">
        <v>225</v>
      </c>
      <c r="E17" s="56" t="s">
        <v>98</v>
      </c>
      <c r="F17" s="18" t="s">
        <v>1</v>
      </c>
      <c r="G17" s="19">
        <v>67200</v>
      </c>
      <c r="H17" s="20">
        <f>E17*G17</f>
        <v>557760</v>
      </c>
    </row>
    <row r="18" spans="1:8" ht="18">
      <c r="A18" s="259"/>
      <c r="B18" s="18" t="s">
        <v>46</v>
      </c>
      <c r="C18" s="18"/>
      <c r="D18" s="18">
        <v>225</v>
      </c>
      <c r="E18" s="56"/>
      <c r="F18" s="18" t="s">
        <v>28</v>
      </c>
      <c r="G18" s="19">
        <v>1450</v>
      </c>
      <c r="H18" s="20">
        <f>184800+136500</f>
        <v>321300</v>
      </c>
    </row>
    <row r="19" spans="1:8" ht="18">
      <c r="A19" s="259"/>
      <c r="B19" s="77" t="s">
        <v>73</v>
      </c>
      <c r="C19" s="43"/>
      <c r="D19" s="43"/>
      <c r="E19" s="57" t="s">
        <v>64</v>
      </c>
      <c r="F19" s="43" t="s">
        <v>3</v>
      </c>
      <c r="G19" s="44"/>
      <c r="H19" s="20">
        <f>4935+6090</f>
        <v>11025</v>
      </c>
    </row>
    <row r="20" spans="1:8" ht="18">
      <c r="A20" s="259"/>
      <c r="B20" s="21" t="s">
        <v>25</v>
      </c>
      <c r="C20" s="21"/>
      <c r="D20" s="21"/>
      <c r="E20" s="58"/>
      <c r="F20" s="22"/>
      <c r="G20" s="21"/>
      <c r="H20" s="20">
        <v>136000</v>
      </c>
    </row>
    <row r="21" spans="1:8" ht="18">
      <c r="A21" s="274"/>
      <c r="B21" s="260"/>
      <c r="C21" s="261"/>
      <c r="D21" s="261"/>
      <c r="E21" s="261"/>
      <c r="F21" s="261"/>
      <c r="G21" s="262"/>
      <c r="H21" s="28">
        <f>SUM(H14:H20)</f>
        <v>3828430</v>
      </c>
    </row>
    <row r="22" spans="1:8" ht="18">
      <c r="A22" s="263" t="s">
        <v>77</v>
      </c>
      <c r="B22" s="12" t="s">
        <v>20</v>
      </c>
      <c r="C22" s="12">
        <v>120</v>
      </c>
      <c r="D22" s="12">
        <v>225</v>
      </c>
      <c r="E22" s="55" t="s">
        <v>38</v>
      </c>
      <c r="F22" s="12" t="s">
        <v>1</v>
      </c>
      <c r="G22" s="13">
        <v>21525</v>
      </c>
      <c r="H22" s="14">
        <f>E22*G22</f>
        <v>581175</v>
      </c>
    </row>
    <row r="23" spans="1:8" ht="18">
      <c r="A23" s="259"/>
      <c r="B23" s="18" t="s">
        <v>23</v>
      </c>
      <c r="C23" s="18">
        <v>78</v>
      </c>
      <c r="D23" s="18">
        <v>225</v>
      </c>
      <c r="E23" s="60">
        <v>17</v>
      </c>
      <c r="F23" s="18" t="s">
        <v>1</v>
      </c>
      <c r="G23" s="19">
        <v>123900</v>
      </c>
      <c r="H23" s="20">
        <f>E23*G23</f>
        <v>2106300</v>
      </c>
    </row>
    <row r="24" spans="1:8" ht="18">
      <c r="A24" s="259"/>
      <c r="B24" s="18" t="s">
        <v>44</v>
      </c>
      <c r="C24" s="18">
        <v>2</v>
      </c>
      <c r="D24" s="18">
        <v>225</v>
      </c>
      <c r="E24" s="56" t="s">
        <v>109</v>
      </c>
      <c r="F24" s="18" t="s">
        <v>1</v>
      </c>
      <c r="G24" s="19">
        <v>67200</v>
      </c>
      <c r="H24" s="20">
        <f>E24*G24</f>
        <v>483840</v>
      </c>
    </row>
    <row r="25" spans="1:8" ht="18">
      <c r="A25" s="259"/>
      <c r="B25" s="18" t="s">
        <v>55</v>
      </c>
      <c r="C25" s="18"/>
      <c r="D25" s="18">
        <v>225</v>
      </c>
      <c r="E25" s="59">
        <v>0.3</v>
      </c>
      <c r="F25" s="18" t="s">
        <v>1</v>
      </c>
      <c r="G25" s="31"/>
      <c r="H25" s="20">
        <f>6090+4935+6804</f>
        <v>17829</v>
      </c>
    </row>
    <row r="26" spans="1:8" ht="18">
      <c r="A26" s="259"/>
      <c r="B26" s="18" t="s">
        <v>27</v>
      </c>
      <c r="C26" s="18"/>
      <c r="D26" s="18">
        <v>225</v>
      </c>
      <c r="E26" s="56"/>
      <c r="F26" s="18" t="s">
        <v>28</v>
      </c>
      <c r="G26" s="19">
        <f>H26/225</f>
        <v>2233.1733333333332</v>
      </c>
      <c r="H26" s="20">
        <v>502464</v>
      </c>
    </row>
    <row r="27" spans="1:8" ht="18">
      <c r="A27" s="259"/>
      <c r="B27" s="21" t="s">
        <v>25</v>
      </c>
      <c r="C27" s="21"/>
      <c r="D27" s="21"/>
      <c r="E27" s="58"/>
      <c r="F27" s="22"/>
      <c r="G27" s="21"/>
      <c r="H27" s="23">
        <v>136000</v>
      </c>
    </row>
    <row r="28" spans="1:8" ht="18">
      <c r="A28" s="259"/>
      <c r="B28" s="18"/>
      <c r="C28" s="18"/>
      <c r="D28" s="2"/>
      <c r="E28" s="59"/>
      <c r="F28" s="29"/>
      <c r="G28" s="19"/>
      <c r="H28" s="30">
        <f>SUM(H22:H27)</f>
        <v>3827608</v>
      </c>
    </row>
    <row r="29" spans="1:8" ht="18">
      <c r="A29" s="263" t="s">
        <v>79</v>
      </c>
      <c r="B29" s="12" t="s">
        <v>20</v>
      </c>
      <c r="C29" s="12">
        <v>120</v>
      </c>
      <c r="D29" s="18">
        <v>225</v>
      </c>
      <c r="E29" s="55" t="s">
        <v>38</v>
      </c>
      <c r="F29" s="12" t="s">
        <v>1</v>
      </c>
      <c r="G29" s="13">
        <v>21525</v>
      </c>
      <c r="H29" s="14">
        <f>E29*G29</f>
        <v>581175</v>
      </c>
    </row>
    <row r="30" spans="1:8" ht="18">
      <c r="A30" s="259"/>
      <c r="B30" s="45" t="s">
        <v>56</v>
      </c>
      <c r="C30" s="45">
        <v>37</v>
      </c>
      <c r="D30" s="18">
        <v>225</v>
      </c>
      <c r="E30" s="60">
        <v>8.3000000000000007</v>
      </c>
      <c r="F30" s="18" t="s">
        <v>1</v>
      </c>
      <c r="G30" s="19">
        <v>199500</v>
      </c>
      <c r="H30" s="20">
        <f>E30*G30</f>
        <v>1655850.0000000002</v>
      </c>
    </row>
    <row r="31" spans="1:8" ht="18">
      <c r="A31" s="259"/>
      <c r="B31" s="18" t="s">
        <v>23</v>
      </c>
      <c r="C31" s="18">
        <v>22</v>
      </c>
      <c r="D31" s="18">
        <v>225</v>
      </c>
      <c r="E31" s="60">
        <v>5.5</v>
      </c>
      <c r="F31" s="18" t="s">
        <v>1</v>
      </c>
      <c r="G31" s="19">
        <v>123900</v>
      </c>
      <c r="H31" s="20">
        <f t="shared" ref="H31:H36" si="2">E31*G31</f>
        <v>681450</v>
      </c>
    </row>
    <row r="32" spans="1:8" ht="18">
      <c r="A32" s="259"/>
      <c r="B32" s="18" t="s">
        <v>8</v>
      </c>
      <c r="C32" s="18"/>
      <c r="D32" s="18">
        <v>225</v>
      </c>
      <c r="E32" s="59">
        <v>1</v>
      </c>
      <c r="F32" s="18" t="s">
        <v>1</v>
      </c>
      <c r="G32" s="19">
        <v>36720</v>
      </c>
      <c r="H32" s="20">
        <f t="shared" si="2"/>
        <v>36720</v>
      </c>
    </row>
    <row r="33" spans="1:8" ht="18">
      <c r="A33" s="259"/>
      <c r="B33" s="18" t="s">
        <v>57</v>
      </c>
      <c r="C33" s="18">
        <v>0.68</v>
      </c>
      <c r="D33" s="18">
        <v>225</v>
      </c>
      <c r="E33" s="61">
        <v>1.5</v>
      </c>
      <c r="F33" s="18" t="s">
        <v>1</v>
      </c>
      <c r="G33" s="19">
        <v>36750</v>
      </c>
      <c r="H33" s="20">
        <f t="shared" si="2"/>
        <v>55125</v>
      </c>
    </row>
    <row r="34" spans="1:8" ht="18">
      <c r="A34" s="259"/>
      <c r="B34" s="18" t="s">
        <v>35</v>
      </c>
      <c r="C34" s="18">
        <v>37</v>
      </c>
      <c r="D34" s="18">
        <v>225</v>
      </c>
      <c r="E34" s="59">
        <v>8</v>
      </c>
      <c r="F34" s="18" t="s">
        <v>1</v>
      </c>
      <c r="G34" s="19">
        <v>47250</v>
      </c>
      <c r="H34" s="20">
        <f t="shared" si="2"/>
        <v>378000</v>
      </c>
    </row>
    <row r="35" spans="1:8" ht="18">
      <c r="A35" s="259"/>
      <c r="B35" s="18" t="s">
        <v>11</v>
      </c>
      <c r="C35" s="18"/>
      <c r="D35" s="18"/>
      <c r="E35" s="61">
        <v>0.1</v>
      </c>
      <c r="F35" s="18" t="s">
        <v>1</v>
      </c>
      <c r="G35" s="19">
        <v>60900</v>
      </c>
      <c r="H35" s="20">
        <f t="shared" si="2"/>
        <v>6090</v>
      </c>
    </row>
    <row r="36" spans="1:8" ht="18">
      <c r="A36" s="259"/>
      <c r="B36" s="18" t="s">
        <v>58</v>
      </c>
      <c r="C36" s="18"/>
      <c r="D36" s="18"/>
      <c r="E36" s="61">
        <v>0.1</v>
      </c>
      <c r="F36" s="18" t="s">
        <v>1</v>
      </c>
      <c r="G36" s="44">
        <v>49350</v>
      </c>
      <c r="H36" s="20">
        <f t="shared" si="2"/>
        <v>4935</v>
      </c>
    </row>
    <row r="37" spans="1:8" ht="18">
      <c r="A37" s="259"/>
      <c r="B37" s="18" t="s">
        <v>59</v>
      </c>
      <c r="C37" s="18"/>
      <c r="D37" s="18">
        <v>225</v>
      </c>
      <c r="E37" s="59"/>
      <c r="F37" s="18" t="s">
        <v>24</v>
      </c>
      <c r="G37" s="19">
        <v>1210</v>
      </c>
      <c r="H37" s="20">
        <v>287700</v>
      </c>
    </row>
    <row r="38" spans="1:8" ht="18">
      <c r="A38" s="274"/>
      <c r="B38" s="21" t="s">
        <v>25</v>
      </c>
      <c r="C38" s="21"/>
      <c r="D38" s="21"/>
      <c r="E38" s="58"/>
      <c r="F38" s="22"/>
      <c r="G38" s="21"/>
      <c r="H38" s="23">
        <v>136000</v>
      </c>
    </row>
    <row r="39" spans="1:8" ht="18">
      <c r="A39" s="32"/>
      <c r="B39" s="24"/>
      <c r="C39" s="25"/>
      <c r="D39" s="25"/>
      <c r="E39" s="51"/>
      <c r="F39" s="25"/>
      <c r="G39" s="26"/>
      <c r="H39" s="28">
        <f>SUM(H29:H38)</f>
        <v>3823045</v>
      </c>
    </row>
    <row r="40" spans="1:8" ht="18">
      <c r="A40" s="263" t="s">
        <v>78</v>
      </c>
      <c r="B40" s="68" t="s">
        <v>20</v>
      </c>
      <c r="C40" s="66">
        <f>E40/D40</f>
        <v>0.12</v>
      </c>
      <c r="D40" s="18">
        <v>225</v>
      </c>
      <c r="E40" s="81" t="s">
        <v>38</v>
      </c>
      <c r="F40" s="12" t="s">
        <v>1</v>
      </c>
      <c r="G40" s="70">
        <v>21525</v>
      </c>
      <c r="H40" s="46">
        <f>E40*G40</f>
        <v>581175</v>
      </c>
    </row>
    <row r="41" spans="1:8" ht="18">
      <c r="A41" s="259"/>
      <c r="B41" s="69" t="s">
        <v>9</v>
      </c>
      <c r="C41" s="52">
        <f t="shared" ref="C41:C42" si="3">E41/D41</f>
        <v>7.644444444444444E-2</v>
      </c>
      <c r="D41" s="18">
        <v>225</v>
      </c>
      <c r="E41" s="69">
        <v>17.2</v>
      </c>
      <c r="F41" s="18" t="s">
        <v>1</v>
      </c>
      <c r="G41" s="72">
        <v>131250</v>
      </c>
      <c r="H41" s="20">
        <f>E41*G41</f>
        <v>2257500</v>
      </c>
    </row>
    <row r="42" spans="1:8" ht="18">
      <c r="A42" s="259"/>
      <c r="B42" s="69" t="s">
        <v>6</v>
      </c>
      <c r="C42" s="67">
        <f t="shared" si="3"/>
        <v>0.57777777777777772</v>
      </c>
      <c r="D42" s="18">
        <v>225</v>
      </c>
      <c r="E42" s="69">
        <v>130</v>
      </c>
      <c r="F42" s="18" t="s">
        <v>1</v>
      </c>
      <c r="G42" s="72">
        <v>3672</v>
      </c>
      <c r="H42" s="20">
        <f t="shared" ref="H42:H45" si="4">E42*G42</f>
        <v>477360</v>
      </c>
    </row>
    <row r="43" spans="1:8" ht="18">
      <c r="A43" s="259"/>
      <c r="B43" s="69" t="s">
        <v>7</v>
      </c>
      <c r="C43" s="67"/>
      <c r="D43" s="18"/>
      <c r="E43" s="82" t="s">
        <v>26</v>
      </c>
      <c r="F43" s="18"/>
      <c r="G43" s="73">
        <v>58320</v>
      </c>
      <c r="H43" s="20">
        <f t="shared" si="4"/>
        <v>58320</v>
      </c>
    </row>
    <row r="44" spans="1:8" ht="18">
      <c r="A44" s="259"/>
      <c r="B44" s="69" t="s">
        <v>90</v>
      </c>
      <c r="C44" s="67"/>
      <c r="D44" s="18"/>
      <c r="E44" s="69">
        <v>0.1</v>
      </c>
      <c r="F44" s="18" t="s">
        <v>3</v>
      </c>
      <c r="G44" s="72">
        <v>60900</v>
      </c>
      <c r="H44" s="20">
        <f t="shared" si="4"/>
        <v>6090</v>
      </c>
    </row>
    <row r="45" spans="1:8" ht="18">
      <c r="A45" s="259"/>
      <c r="B45" s="69" t="s">
        <v>8</v>
      </c>
      <c r="C45" s="18"/>
      <c r="D45" s="18"/>
      <c r="E45" s="82" t="s">
        <v>26</v>
      </c>
      <c r="F45" s="18" t="s">
        <v>1</v>
      </c>
      <c r="G45" s="72">
        <v>36720</v>
      </c>
      <c r="H45" s="20">
        <f t="shared" si="4"/>
        <v>36720</v>
      </c>
    </row>
    <row r="46" spans="1:8" ht="18">
      <c r="A46" s="259"/>
      <c r="B46" s="69" t="s">
        <v>46</v>
      </c>
      <c r="C46" s="48"/>
      <c r="D46" s="18"/>
      <c r="E46" s="69"/>
      <c r="F46" s="18" t="s">
        <v>28</v>
      </c>
      <c r="G46" s="72">
        <v>1217</v>
      </c>
      <c r="H46" s="20">
        <f>138600+136500</f>
        <v>275100</v>
      </c>
    </row>
    <row r="47" spans="1:8" ht="18">
      <c r="A47" s="274"/>
      <c r="B47" s="80" t="s">
        <v>25</v>
      </c>
      <c r="C47" s="21"/>
      <c r="D47" s="21"/>
      <c r="E47" s="58"/>
      <c r="F47" s="23"/>
      <c r="G47" s="21"/>
      <c r="H47" s="23">
        <v>136000</v>
      </c>
    </row>
    <row r="48" spans="1:8" ht="18">
      <c r="A48" s="2"/>
      <c r="B48" s="2"/>
      <c r="C48" s="2"/>
      <c r="D48" s="2"/>
      <c r="E48" s="63"/>
      <c r="F48" s="5"/>
      <c r="G48" s="2"/>
      <c r="H48" s="28">
        <f>SUM(H40:H47)</f>
        <v>3828265</v>
      </c>
    </row>
    <row r="49" spans="1:8" ht="18">
      <c r="A49" s="271" t="s">
        <v>29</v>
      </c>
      <c r="B49" s="271"/>
      <c r="C49" s="271" t="s">
        <v>30</v>
      </c>
      <c r="D49" s="271"/>
      <c r="E49" s="271"/>
      <c r="F49" s="1"/>
      <c r="G49" s="244" t="s">
        <v>31</v>
      </c>
      <c r="H49" s="244"/>
    </row>
    <row r="50" spans="1:8" ht="18">
      <c r="A50" s="41"/>
      <c r="B50" s="41"/>
      <c r="C50" s="41"/>
      <c r="D50" s="41"/>
      <c r="E50" s="41"/>
      <c r="F50" s="1"/>
      <c r="G50" s="41"/>
      <c r="H50" s="41"/>
    </row>
    <row r="51" spans="1:8" ht="18">
      <c r="A51" s="41"/>
      <c r="B51" s="41"/>
      <c r="C51" s="41"/>
      <c r="D51" s="41"/>
      <c r="E51" s="41"/>
      <c r="F51" s="1"/>
      <c r="G51" s="41"/>
      <c r="H51" s="41"/>
    </row>
    <row r="54" spans="1:8" ht="15.6">
      <c r="A54" s="6" t="s">
        <v>0</v>
      </c>
      <c r="B54" s="6"/>
    </row>
    <row r="55" spans="1:8" ht="15.6">
      <c r="A55" s="244" t="s">
        <v>34</v>
      </c>
      <c r="B55" s="244"/>
      <c r="C55" s="244"/>
      <c r="D55" s="244"/>
      <c r="E55" s="244"/>
      <c r="F55" s="244"/>
      <c r="G55" s="244"/>
      <c r="H55" s="244"/>
    </row>
    <row r="56" spans="1:8" ht="15.6">
      <c r="A56" s="272" t="s">
        <v>100</v>
      </c>
      <c r="B56" s="272"/>
      <c r="C56" s="272"/>
      <c r="D56" s="272"/>
      <c r="E56" s="272"/>
      <c r="F56" s="272"/>
      <c r="G56" s="272"/>
      <c r="H56" s="272"/>
    </row>
    <row r="57" spans="1:8" ht="40.200000000000003">
      <c r="A57" s="7" t="s">
        <v>13</v>
      </c>
      <c r="B57" s="8" t="s">
        <v>14</v>
      </c>
      <c r="C57" s="9" t="s">
        <v>15</v>
      </c>
      <c r="D57" s="10" t="s">
        <v>16</v>
      </c>
      <c r="E57" s="50" t="s">
        <v>17</v>
      </c>
      <c r="F57" s="11" t="s">
        <v>4</v>
      </c>
      <c r="G57" s="7" t="s">
        <v>18</v>
      </c>
      <c r="H57" s="7" t="s">
        <v>19</v>
      </c>
    </row>
    <row r="58" spans="1:8" ht="18">
      <c r="A58" s="268">
        <v>2</v>
      </c>
      <c r="B58" s="12" t="s">
        <v>20</v>
      </c>
      <c r="C58" s="90">
        <f>E58/D58</f>
        <v>0.12</v>
      </c>
      <c r="D58" s="12">
        <v>225</v>
      </c>
      <c r="E58" s="55" t="s">
        <v>38</v>
      </c>
      <c r="F58" s="12" t="s">
        <v>1</v>
      </c>
      <c r="G58" s="13">
        <v>21525</v>
      </c>
      <c r="H58" s="14">
        <f>E58*G58</f>
        <v>581175</v>
      </c>
    </row>
    <row r="59" spans="1:8" ht="18">
      <c r="A59" s="269"/>
      <c r="B59" s="18" t="s">
        <v>5</v>
      </c>
      <c r="C59" s="93">
        <f>E59/D59</f>
        <v>6.6666666666666666E-2</v>
      </c>
      <c r="D59" s="18">
        <v>225</v>
      </c>
      <c r="E59" s="56" t="s">
        <v>97</v>
      </c>
      <c r="F59" s="18" t="s">
        <v>1</v>
      </c>
      <c r="G59" s="19">
        <v>136500</v>
      </c>
      <c r="H59" s="20">
        <f>E59*G59</f>
        <v>2047500</v>
      </c>
    </row>
    <row r="60" spans="1:8" ht="18">
      <c r="A60" s="269"/>
      <c r="B60" s="18" t="s">
        <v>42</v>
      </c>
      <c r="C60" s="93">
        <f t="shared" ref="C60:C61" si="5">E60/D60</f>
        <v>3.1111111111111109E-3</v>
      </c>
      <c r="D60" s="18">
        <v>225</v>
      </c>
      <c r="E60" s="56" t="s">
        <v>43</v>
      </c>
      <c r="F60" s="18" t="s">
        <v>1</v>
      </c>
      <c r="G60" s="19">
        <v>306600</v>
      </c>
      <c r="H60" s="20">
        <f>E60*G60</f>
        <v>214620</v>
      </c>
    </row>
    <row r="61" spans="1:8" ht="18">
      <c r="A61" s="269"/>
      <c r="B61" s="18" t="s">
        <v>44</v>
      </c>
      <c r="C61" s="93">
        <f t="shared" si="5"/>
        <v>3.6888888888888895E-2</v>
      </c>
      <c r="D61" s="18">
        <v>225</v>
      </c>
      <c r="E61" s="56" t="s">
        <v>98</v>
      </c>
      <c r="F61" s="18" t="s">
        <v>1</v>
      </c>
      <c r="G61" s="19">
        <v>67200</v>
      </c>
      <c r="H61" s="20">
        <f>E61*G61</f>
        <v>557760</v>
      </c>
    </row>
    <row r="62" spans="1:8" ht="18">
      <c r="A62" s="269"/>
      <c r="B62" s="18" t="s">
        <v>46</v>
      </c>
      <c r="C62" s="18"/>
      <c r="D62" s="18">
        <v>225</v>
      </c>
      <c r="E62" s="56"/>
      <c r="F62" s="18" t="s">
        <v>28</v>
      </c>
      <c r="G62" s="19">
        <v>1450</v>
      </c>
      <c r="H62" s="20">
        <v>275100</v>
      </c>
    </row>
    <row r="63" spans="1:8" ht="18">
      <c r="A63" s="269"/>
      <c r="B63" s="43" t="s">
        <v>96</v>
      </c>
      <c r="C63" s="43"/>
      <c r="D63" s="43"/>
      <c r="E63" s="57" t="s">
        <v>64</v>
      </c>
      <c r="F63" s="43" t="s">
        <v>3</v>
      </c>
      <c r="G63" s="44"/>
      <c r="H63" s="20">
        <f>6090+4935</f>
        <v>11025</v>
      </c>
    </row>
    <row r="64" spans="1:8" ht="18">
      <c r="A64" s="269"/>
      <c r="B64" s="21" t="s">
        <v>25</v>
      </c>
      <c r="C64" s="21"/>
      <c r="D64" s="21"/>
      <c r="E64" s="58"/>
      <c r="F64" s="22"/>
      <c r="G64" s="21"/>
      <c r="H64" s="23">
        <v>136000</v>
      </c>
    </row>
    <row r="65" spans="1:8" ht="18">
      <c r="A65" s="270"/>
      <c r="B65" s="260"/>
      <c r="C65" s="261"/>
      <c r="D65" s="261"/>
      <c r="E65" s="261"/>
      <c r="F65" s="261"/>
      <c r="G65" s="262"/>
      <c r="H65" s="28">
        <f>SUM(H58:H64)</f>
        <v>3823180</v>
      </c>
    </row>
    <row r="66" spans="1:8" ht="18">
      <c r="A66" s="268">
        <v>3</v>
      </c>
      <c r="B66" s="12" t="s">
        <v>20</v>
      </c>
      <c r="C66" s="90">
        <f>E66/D66</f>
        <v>0.12</v>
      </c>
      <c r="D66" s="18">
        <v>225</v>
      </c>
      <c r="E66" s="55" t="s">
        <v>38</v>
      </c>
      <c r="F66" s="12" t="s">
        <v>1</v>
      </c>
      <c r="G66" s="13">
        <v>21525</v>
      </c>
      <c r="H66" s="14">
        <f>E66*G66</f>
        <v>581175</v>
      </c>
    </row>
    <row r="67" spans="1:8" ht="18">
      <c r="A67" s="269"/>
      <c r="B67" s="18" t="s">
        <v>48</v>
      </c>
      <c r="C67" s="93">
        <f>E67/D67</f>
        <v>6.5333333333333327E-2</v>
      </c>
      <c r="D67" s="18">
        <v>225</v>
      </c>
      <c r="E67" s="56" t="s">
        <v>68</v>
      </c>
      <c r="F67" s="18" t="s">
        <v>1</v>
      </c>
      <c r="G67" s="19">
        <v>156600</v>
      </c>
      <c r="H67" s="20">
        <f>E67*G67</f>
        <v>2302020</v>
      </c>
    </row>
    <row r="68" spans="1:8" ht="18">
      <c r="A68" s="269"/>
      <c r="B68" s="18" t="s">
        <v>49</v>
      </c>
      <c r="C68" s="93">
        <f t="shared" ref="C68:C71" si="6">E68/D68</f>
        <v>0.57777777777777772</v>
      </c>
      <c r="D68" s="18">
        <v>225</v>
      </c>
      <c r="E68" s="59">
        <v>130</v>
      </c>
      <c r="F68" s="18" t="s">
        <v>2</v>
      </c>
      <c r="G68" s="19">
        <v>3456</v>
      </c>
      <c r="H68" s="20">
        <f>E68*G68</f>
        <v>449280</v>
      </c>
    </row>
    <row r="69" spans="1:8" ht="18">
      <c r="A69" s="269"/>
      <c r="B69" s="18" t="s">
        <v>50</v>
      </c>
      <c r="C69" s="93">
        <f t="shared" si="6"/>
        <v>8.8888888888888889E-3</v>
      </c>
      <c r="D69" s="18">
        <v>225</v>
      </c>
      <c r="E69" s="59">
        <v>2</v>
      </c>
      <c r="F69" s="18" t="s">
        <v>1</v>
      </c>
      <c r="G69" s="20">
        <v>29400</v>
      </c>
      <c r="H69" s="20">
        <f>E69*G69</f>
        <v>58800</v>
      </c>
    </row>
    <row r="70" spans="1:8" ht="18">
      <c r="A70" s="269"/>
      <c r="B70" s="18" t="s">
        <v>51</v>
      </c>
      <c r="C70" s="93">
        <f t="shared" si="6"/>
        <v>4.4444444444444444E-3</v>
      </c>
      <c r="D70" s="18">
        <v>225</v>
      </c>
      <c r="E70" s="59">
        <v>1</v>
      </c>
      <c r="F70" s="18" t="s">
        <v>1</v>
      </c>
      <c r="G70" s="20">
        <v>164850</v>
      </c>
      <c r="H70" s="20">
        <f t="shared" ref="H70:H72" si="7">E70*G70</f>
        <v>164850</v>
      </c>
    </row>
    <row r="71" spans="1:8" ht="18">
      <c r="A71" s="269"/>
      <c r="B71" s="18" t="s">
        <v>99</v>
      </c>
      <c r="C71" s="93">
        <f t="shared" si="6"/>
        <v>2.3555555555555555E-2</v>
      </c>
      <c r="D71" s="18">
        <v>225</v>
      </c>
      <c r="E71" s="61">
        <v>5.3</v>
      </c>
      <c r="F71" s="18" t="s">
        <v>1</v>
      </c>
      <c r="G71" s="19">
        <v>22050</v>
      </c>
      <c r="H71" s="20">
        <f t="shared" si="7"/>
        <v>116865</v>
      </c>
    </row>
    <row r="72" spans="1:8" ht="18">
      <c r="A72" s="269"/>
      <c r="B72" s="18" t="s">
        <v>11</v>
      </c>
      <c r="C72" s="18"/>
      <c r="D72" s="18">
        <v>225</v>
      </c>
      <c r="E72" s="56" t="s">
        <v>52</v>
      </c>
      <c r="F72" s="18" t="s">
        <v>1</v>
      </c>
      <c r="G72" s="19">
        <v>60900</v>
      </c>
      <c r="H72" s="20">
        <f t="shared" si="7"/>
        <v>6090</v>
      </c>
    </row>
    <row r="73" spans="1:8" ht="18">
      <c r="A73" s="269"/>
      <c r="B73" s="21" t="s">
        <v>66</v>
      </c>
      <c r="C73" s="21"/>
      <c r="D73" s="21">
        <v>225</v>
      </c>
      <c r="E73" s="58" t="s">
        <v>64</v>
      </c>
      <c r="F73" s="21" t="s">
        <v>1</v>
      </c>
      <c r="G73" s="40">
        <v>49350</v>
      </c>
      <c r="H73" s="23">
        <f>E73*G73</f>
        <v>9870</v>
      </c>
    </row>
    <row r="74" spans="1:8" ht="18">
      <c r="A74" s="269"/>
      <c r="B74" s="21" t="s">
        <v>25</v>
      </c>
      <c r="C74" s="38"/>
      <c r="D74" s="38"/>
      <c r="E74" s="64"/>
      <c r="F74" s="39"/>
      <c r="G74" s="38"/>
      <c r="H74" s="17">
        <v>136000</v>
      </c>
    </row>
    <row r="75" spans="1:8" ht="18">
      <c r="A75" s="270"/>
      <c r="B75" s="260"/>
      <c r="C75" s="261"/>
      <c r="D75" s="261"/>
      <c r="E75" s="261"/>
      <c r="F75" s="261"/>
      <c r="G75" s="262"/>
      <c r="H75" s="28">
        <f>SUM(H66:H74)</f>
        <v>3824950</v>
      </c>
    </row>
    <row r="76" spans="1:8" ht="18">
      <c r="A76" s="268">
        <v>4</v>
      </c>
      <c r="B76" s="12"/>
      <c r="C76" s="91"/>
      <c r="D76" s="12"/>
      <c r="E76" s="55"/>
      <c r="F76" s="12"/>
      <c r="G76" s="13"/>
      <c r="H76" s="14"/>
    </row>
    <row r="77" spans="1:8" ht="18">
      <c r="A77" s="269"/>
      <c r="B77" s="18"/>
      <c r="C77" s="93"/>
      <c r="D77" s="18"/>
      <c r="E77" s="60"/>
      <c r="F77" s="18"/>
      <c r="G77" s="19"/>
      <c r="H77" s="20"/>
    </row>
    <row r="78" spans="1:8" ht="18">
      <c r="A78" s="269"/>
      <c r="B78" s="18"/>
      <c r="C78" s="93"/>
      <c r="D78" s="18"/>
      <c r="E78" s="56"/>
      <c r="F78" s="18"/>
      <c r="G78" s="19"/>
      <c r="H78" s="20"/>
    </row>
    <row r="79" spans="1:8" ht="18">
      <c r="A79" s="269"/>
      <c r="B79" s="18" t="s">
        <v>104</v>
      </c>
      <c r="C79" s="92"/>
      <c r="D79" s="18"/>
      <c r="E79" s="56"/>
      <c r="F79" s="18"/>
      <c r="G79" s="19"/>
      <c r="H79" s="20"/>
    </row>
    <row r="80" spans="1:8" ht="18">
      <c r="A80" s="269"/>
      <c r="B80" s="18"/>
      <c r="C80" s="18"/>
      <c r="D80" s="18"/>
      <c r="E80" s="59"/>
      <c r="F80" s="20"/>
      <c r="G80" s="31"/>
      <c r="H80" s="20"/>
    </row>
    <row r="81" spans="1:8" ht="18">
      <c r="A81" s="269"/>
      <c r="B81" s="18"/>
      <c r="C81" s="18"/>
      <c r="D81" s="18"/>
      <c r="E81" s="56"/>
      <c r="F81" s="18"/>
      <c r="G81" s="19"/>
      <c r="H81" s="20"/>
    </row>
    <row r="82" spans="1:8" ht="18">
      <c r="A82" s="269"/>
      <c r="B82" s="21"/>
      <c r="C82" s="21"/>
      <c r="D82" s="21"/>
      <c r="E82" s="58"/>
      <c r="F82" s="22"/>
      <c r="G82" s="21"/>
      <c r="H82" s="23"/>
    </row>
    <row r="83" spans="1:8" ht="18">
      <c r="A83" s="269"/>
      <c r="B83" s="18"/>
      <c r="C83" s="18"/>
      <c r="D83" s="18"/>
      <c r="E83" s="59"/>
      <c r="F83" s="29"/>
      <c r="G83" s="19"/>
      <c r="H83" s="30">
        <f>SUM(H76:H82)</f>
        <v>0</v>
      </c>
    </row>
    <row r="84" spans="1:8" ht="18">
      <c r="A84" s="268">
        <v>5</v>
      </c>
      <c r="B84" s="12" t="s">
        <v>20</v>
      </c>
      <c r="C84" s="12">
        <v>120</v>
      </c>
      <c r="D84" s="18">
        <v>225</v>
      </c>
      <c r="E84" s="55" t="s">
        <v>38</v>
      </c>
      <c r="F84" s="12" t="s">
        <v>1</v>
      </c>
      <c r="G84" s="13">
        <v>21525</v>
      </c>
      <c r="H84" s="14">
        <f>E84*G84</f>
        <v>581175</v>
      </c>
    </row>
    <row r="85" spans="1:8" ht="18">
      <c r="A85" s="269"/>
      <c r="B85" s="45" t="s">
        <v>56</v>
      </c>
      <c r="C85" s="45">
        <v>37</v>
      </c>
      <c r="D85" s="18">
        <v>225</v>
      </c>
      <c r="E85" s="60">
        <v>8.3000000000000007</v>
      </c>
      <c r="F85" s="18" t="s">
        <v>1</v>
      </c>
      <c r="G85" s="19">
        <v>199500</v>
      </c>
      <c r="H85" s="20">
        <f>E85*G85</f>
        <v>1655850.0000000002</v>
      </c>
    </row>
    <row r="86" spans="1:8" ht="18">
      <c r="A86" s="269"/>
      <c r="B86" s="18" t="s">
        <v>23</v>
      </c>
      <c r="C86" s="18">
        <v>22</v>
      </c>
      <c r="D86" s="18">
        <v>225</v>
      </c>
      <c r="E86" s="60">
        <v>5.5</v>
      </c>
      <c r="F86" s="18" t="s">
        <v>1</v>
      </c>
      <c r="G86" s="19">
        <v>123900</v>
      </c>
      <c r="H86" s="20">
        <f t="shared" ref="H86:H91" si="8">E86*G86</f>
        <v>681450</v>
      </c>
    </row>
    <row r="87" spans="1:8" ht="18">
      <c r="A87" s="269"/>
      <c r="B87" s="18" t="s">
        <v>8</v>
      </c>
      <c r="C87" s="18"/>
      <c r="D87" s="18">
        <v>225</v>
      </c>
      <c r="E87" s="59">
        <v>1</v>
      </c>
      <c r="F87" s="18" t="s">
        <v>1</v>
      </c>
      <c r="G87" s="19">
        <v>36720</v>
      </c>
      <c r="H87" s="20">
        <f t="shared" si="8"/>
        <v>36720</v>
      </c>
    </row>
    <row r="88" spans="1:8" ht="18">
      <c r="A88" s="269"/>
      <c r="B88" s="18" t="s">
        <v>57</v>
      </c>
      <c r="C88" s="18">
        <v>0.68</v>
      </c>
      <c r="D88" s="18">
        <v>225</v>
      </c>
      <c r="E88" s="61">
        <v>1.5</v>
      </c>
      <c r="F88" s="18" t="s">
        <v>1</v>
      </c>
      <c r="G88" s="19">
        <v>36750</v>
      </c>
      <c r="H88" s="20">
        <f t="shared" si="8"/>
        <v>55125</v>
      </c>
    </row>
    <row r="89" spans="1:8" ht="18">
      <c r="A89" s="269"/>
      <c r="B89" s="18" t="s">
        <v>35</v>
      </c>
      <c r="C89" s="18">
        <v>37</v>
      </c>
      <c r="D89" s="18">
        <v>225</v>
      </c>
      <c r="E89" s="59">
        <v>8</v>
      </c>
      <c r="F89" s="18" t="s">
        <v>1</v>
      </c>
      <c r="G89" s="19">
        <v>47250</v>
      </c>
      <c r="H89" s="20">
        <f t="shared" si="8"/>
        <v>378000</v>
      </c>
    </row>
    <row r="90" spans="1:8" ht="18">
      <c r="A90" s="269"/>
      <c r="B90" s="18" t="s">
        <v>11</v>
      </c>
      <c r="C90" s="18"/>
      <c r="D90" s="18"/>
      <c r="E90" s="61">
        <v>0.1</v>
      </c>
      <c r="F90" s="18" t="s">
        <v>1</v>
      </c>
      <c r="G90" s="19">
        <v>60900</v>
      </c>
      <c r="H90" s="20">
        <f t="shared" si="8"/>
        <v>6090</v>
      </c>
    </row>
    <row r="91" spans="1:8" ht="18">
      <c r="A91" s="269"/>
      <c r="B91" s="18" t="s">
        <v>58</v>
      </c>
      <c r="C91" s="18"/>
      <c r="D91" s="18"/>
      <c r="E91" s="61">
        <v>0.1</v>
      </c>
      <c r="F91" s="18" t="s">
        <v>1</v>
      </c>
      <c r="G91" s="44">
        <v>49350</v>
      </c>
      <c r="H91" s="20">
        <f t="shared" si="8"/>
        <v>4935</v>
      </c>
    </row>
    <row r="92" spans="1:8" ht="18">
      <c r="A92" s="269"/>
      <c r="B92" s="18" t="s">
        <v>59</v>
      </c>
      <c r="C92" s="18"/>
      <c r="D92" s="18">
        <v>225</v>
      </c>
      <c r="E92" s="59"/>
      <c r="F92" s="18" t="s">
        <v>24</v>
      </c>
      <c r="G92" s="19">
        <v>1210</v>
      </c>
      <c r="H92" s="20">
        <v>287700</v>
      </c>
    </row>
    <row r="93" spans="1:8" ht="18">
      <c r="A93" s="270"/>
      <c r="B93" s="21" t="s">
        <v>25</v>
      </c>
      <c r="C93" s="21"/>
      <c r="D93" s="21"/>
      <c r="E93" s="58"/>
      <c r="F93" s="22"/>
      <c r="G93" s="21"/>
      <c r="H93" s="23">
        <v>136000</v>
      </c>
    </row>
    <row r="94" spans="1:8" ht="18">
      <c r="A94" s="32"/>
      <c r="B94" s="24"/>
      <c r="C94" s="25"/>
      <c r="D94" s="25"/>
      <c r="E94" s="51"/>
      <c r="F94" s="25"/>
      <c r="G94" s="26"/>
      <c r="H94" s="28">
        <f>SUM(H84:H93)</f>
        <v>3823045</v>
      </c>
    </row>
    <row r="95" spans="1:8" ht="18">
      <c r="A95" s="268">
        <v>6</v>
      </c>
      <c r="B95" s="12" t="s">
        <v>20</v>
      </c>
      <c r="C95" s="66">
        <f>E95/D95</f>
        <v>0.12</v>
      </c>
      <c r="D95" s="18">
        <v>225</v>
      </c>
      <c r="E95" s="55" t="s">
        <v>38</v>
      </c>
      <c r="F95" s="12" t="s">
        <v>1</v>
      </c>
      <c r="G95" s="13">
        <v>21525</v>
      </c>
      <c r="H95" s="46">
        <f>E95*G95</f>
        <v>581175</v>
      </c>
    </row>
    <row r="96" spans="1:8" ht="18">
      <c r="A96" s="269"/>
      <c r="B96" s="16" t="s">
        <v>60</v>
      </c>
      <c r="C96" s="52">
        <f t="shared" ref="C96:C97" si="9">E96/D96</f>
        <v>5.1555555555555556E-2</v>
      </c>
      <c r="D96" s="18">
        <v>225</v>
      </c>
      <c r="E96" s="62" t="s">
        <v>70</v>
      </c>
      <c r="F96" s="18" t="s">
        <v>1</v>
      </c>
      <c r="G96" s="47">
        <v>167400</v>
      </c>
      <c r="H96" s="20">
        <f>E96*G96</f>
        <v>1941840</v>
      </c>
    </row>
    <row r="97" spans="1:8" ht="18">
      <c r="A97" s="269"/>
      <c r="B97" s="16" t="s">
        <v>61</v>
      </c>
      <c r="C97" s="67">
        <f t="shared" si="9"/>
        <v>4.4888888888888888E-2</v>
      </c>
      <c r="D97" s="18">
        <v>225</v>
      </c>
      <c r="E97" s="62" t="s">
        <v>62</v>
      </c>
      <c r="F97" s="18" t="s">
        <v>1</v>
      </c>
      <c r="G97" s="47">
        <v>82950</v>
      </c>
      <c r="H97" s="20">
        <f t="shared" ref="H97:H99" si="10">E97*G97</f>
        <v>837795</v>
      </c>
    </row>
    <row r="98" spans="1:8" ht="18">
      <c r="A98" s="269"/>
      <c r="B98" s="18" t="s">
        <v>102</v>
      </c>
      <c r="C98" s="18"/>
      <c r="D98" s="18"/>
      <c r="E98" s="61">
        <v>0.1</v>
      </c>
      <c r="F98" s="18" t="s">
        <v>1</v>
      </c>
      <c r="G98" s="19">
        <v>49350</v>
      </c>
      <c r="H98" s="17">
        <f t="shared" si="10"/>
        <v>4935</v>
      </c>
    </row>
    <row r="99" spans="1:8" ht="18">
      <c r="A99" s="269"/>
      <c r="B99" s="16" t="s">
        <v>103</v>
      </c>
      <c r="C99" s="16"/>
      <c r="D99" s="18"/>
      <c r="E99" s="61">
        <v>0.1</v>
      </c>
      <c r="F99" s="18" t="s">
        <v>1</v>
      </c>
      <c r="G99" s="19">
        <v>60900</v>
      </c>
      <c r="H99" s="17">
        <f t="shared" si="10"/>
        <v>6090</v>
      </c>
    </row>
    <row r="100" spans="1:8" ht="18">
      <c r="A100" s="269"/>
      <c r="B100" s="16" t="s">
        <v>46</v>
      </c>
      <c r="C100" s="48"/>
      <c r="D100" s="18"/>
      <c r="E100" s="62"/>
      <c r="F100" s="18" t="s">
        <v>28</v>
      </c>
      <c r="G100" s="47"/>
      <c r="H100" s="20">
        <v>321300</v>
      </c>
    </row>
    <row r="101" spans="1:8" ht="18">
      <c r="A101" s="270"/>
      <c r="B101" s="21" t="s">
        <v>25</v>
      </c>
      <c r="C101" s="21"/>
      <c r="D101" s="21"/>
      <c r="E101" s="58"/>
      <c r="F101" s="23"/>
      <c r="G101" s="21"/>
      <c r="H101" s="23">
        <v>136000</v>
      </c>
    </row>
    <row r="102" spans="1:8" ht="18">
      <c r="A102" s="2"/>
      <c r="B102" s="2"/>
      <c r="C102" s="2"/>
      <c r="D102" s="2"/>
      <c r="E102" s="63"/>
      <c r="F102" s="5"/>
      <c r="G102" s="2"/>
      <c r="H102" s="28">
        <f>SUM(H95:H101)</f>
        <v>3829135</v>
      </c>
    </row>
    <row r="103" spans="1:8" ht="18">
      <c r="A103" s="271" t="s">
        <v>29</v>
      </c>
      <c r="B103" s="271"/>
      <c r="C103" s="271" t="s">
        <v>30</v>
      </c>
      <c r="D103" s="271"/>
      <c r="E103" s="271"/>
      <c r="F103" s="1"/>
      <c r="G103" s="244" t="s">
        <v>31</v>
      </c>
      <c r="H103" s="244"/>
    </row>
    <row r="109" spans="1:8" ht="15.6">
      <c r="A109" s="6" t="s">
        <v>0</v>
      </c>
      <c r="B109" s="6"/>
    </row>
    <row r="110" spans="1:8" ht="15.6">
      <c r="A110" s="244" t="s">
        <v>34</v>
      </c>
      <c r="B110" s="244"/>
      <c r="C110" s="244"/>
      <c r="D110" s="244"/>
      <c r="E110" s="244"/>
      <c r="F110" s="244"/>
      <c r="G110" s="244"/>
      <c r="H110" s="244"/>
    </row>
    <row r="111" spans="1:8" ht="15.6">
      <c r="A111" s="272" t="s">
        <v>92</v>
      </c>
      <c r="B111" s="272"/>
      <c r="C111" s="272"/>
      <c r="D111" s="272"/>
      <c r="E111" s="272"/>
      <c r="F111" s="272"/>
      <c r="G111" s="272"/>
      <c r="H111" s="272"/>
    </row>
    <row r="112" spans="1:8" ht="40.200000000000003">
      <c r="A112" s="7" t="s">
        <v>13</v>
      </c>
      <c r="B112" s="8" t="s">
        <v>14</v>
      </c>
      <c r="C112" s="9" t="s">
        <v>15</v>
      </c>
      <c r="D112" s="10" t="s">
        <v>16</v>
      </c>
      <c r="E112" s="50" t="s">
        <v>17</v>
      </c>
      <c r="F112" s="11" t="s">
        <v>4</v>
      </c>
      <c r="G112" s="7" t="s">
        <v>18</v>
      </c>
      <c r="H112" s="7" t="s">
        <v>19</v>
      </c>
    </row>
    <row r="113" spans="1:8" ht="18">
      <c r="A113" s="264" t="s">
        <v>75</v>
      </c>
      <c r="B113" s="2" t="s">
        <v>20</v>
      </c>
      <c r="C113" s="87">
        <f>E113/D113</f>
        <v>0.1198237885462555</v>
      </c>
      <c r="D113" s="3">
        <v>227</v>
      </c>
      <c r="E113" s="86" t="s">
        <v>74</v>
      </c>
      <c r="F113" s="3" t="s">
        <v>1</v>
      </c>
      <c r="G113" s="4">
        <v>21525</v>
      </c>
      <c r="H113" s="5">
        <f>E113*G113</f>
        <v>585480</v>
      </c>
    </row>
    <row r="114" spans="1:8" ht="18">
      <c r="A114" s="265"/>
      <c r="B114" s="83" t="s">
        <v>71</v>
      </c>
      <c r="C114" s="89">
        <f t="shared" ref="C114:C116" si="11">E114/D114</f>
        <v>5.0660792951541848E-2</v>
      </c>
      <c r="D114" s="75">
        <v>227</v>
      </c>
      <c r="E114" s="85" t="s">
        <v>84</v>
      </c>
      <c r="F114" s="75" t="s">
        <v>1</v>
      </c>
      <c r="G114" s="76">
        <v>156600</v>
      </c>
      <c r="H114" s="17">
        <f t="shared" ref="H114:H116" si="12">E114*G114</f>
        <v>1800900</v>
      </c>
    </row>
    <row r="115" spans="1:8" ht="18">
      <c r="A115" s="266"/>
      <c r="B115" s="78" t="s">
        <v>72</v>
      </c>
      <c r="C115" s="88">
        <f t="shared" si="11"/>
        <v>6.1674008810572688E-2</v>
      </c>
      <c r="D115" s="69">
        <v>227</v>
      </c>
      <c r="E115" s="82" t="s">
        <v>82</v>
      </c>
      <c r="F115" s="69" t="s">
        <v>1</v>
      </c>
      <c r="G115" s="72">
        <v>21000</v>
      </c>
      <c r="H115" s="17">
        <f t="shared" si="12"/>
        <v>294000</v>
      </c>
    </row>
    <row r="116" spans="1:8" ht="18">
      <c r="A116" s="266"/>
      <c r="B116" s="77" t="s">
        <v>23</v>
      </c>
      <c r="C116" s="88">
        <f t="shared" si="11"/>
        <v>2.7312775330396475E-2</v>
      </c>
      <c r="D116" s="69">
        <v>227</v>
      </c>
      <c r="E116" s="82" t="s">
        <v>85</v>
      </c>
      <c r="F116" s="69" t="s">
        <v>1</v>
      </c>
      <c r="G116" s="72">
        <v>125580</v>
      </c>
      <c r="H116" s="17">
        <f t="shared" si="12"/>
        <v>778596</v>
      </c>
    </row>
    <row r="117" spans="1:8" ht="18">
      <c r="A117" s="266"/>
      <c r="B117" s="77" t="s">
        <v>73</v>
      </c>
      <c r="C117" s="75"/>
      <c r="D117" s="69">
        <v>227</v>
      </c>
      <c r="E117" s="73"/>
      <c r="F117" s="69" t="s">
        <v>1</v>
      </c>
      <c r="G117" s="84"/>
      <c r="H117" s="19" t="e">
        <f>#REF!+#REF!</f>
        <v>#REF!</v>
      </c>
    </row>
    <row r="118" spans="1:8" ht="18">
      <c r="A118" s="266"/>
      <c r="B118" s="77" t="s">
        <v>83</v>
      </c>
      <c r="C118" s="69"/>
      <c r="D118" s="69">
        <v>227</v>
      </c>
      <c r="E118" s="69"/>
      <c r="F118" s="69" t="s">
        <v>24</v>
      </c>
      <c r="G118" s="72"/>
      <c r="H118" s="17">
        <f>110250+136500</f>
        <v>246750</v>
      </c>
    </row>
    <row r="119" spans="1:8" ht="18">
      <c r="A119" s="266"/>
      <c r="B119" s="79" t="s">
        <v>25</v>
      </c>
      <c r="C119" s="21"/>
      <c r="D119" s="21"/>
      <c r="E119" s="58"/>
      <c r="F119" s="21"/>
      <c r="G119" s="40"/>
      <c r="H119" s="35">
        <v>136000</v>
      </c>
    </row>
    <row r="120" spans="1:8" ht="18">
      <c r="A120" s="267"/>
      <c r="B120" s="260"/>
      <c r="C120" s="261"/>
      <c r="D120" s="261"/>
      <c r="E120" s="261"/>
      <c r="F120" s="261"/>
      <c r="G120" s="262"/>
      <c r="H120" s="28" t="e">
        <f>SUM(H113:H119)</f>
        <v>#REF!</v>
      </c>
    </row>
    <row r="121" spans="1:8" ht="18">
      <c r="A121" s="258" t="s">
        <v>76</v>
      </c>
      <c r="B121" s="12" t="s">
        <v>20</v>
      </c>
      <c r="C121" s="12">
        <v>120</v>
      </c>
      <c r="D121" s="12">
        <v>227</v>
      </c>
      <c r="E121" s="55" t="s">
        <v>67</v>
      </c>
      <c r="F121" s="12" t="s">
        <v>1</v>
      </c>
      <c r="G121" s="13">
        <v>21525</v>
      </c>
      <c r="H121" s="14">
        <f>E121*G121</f>
        <v>583327.5</v>
      </c>
    </row>
    <row r="122" spans="1:8" ht="18">
      <c r="A122" s="259"/>
      <c r="B122" s="18" t="s">
        <v>5</v>
      </c>
      <c r="C122" s="18">
        <v>63</v>
      </c>
      <c r="D122" s="18">
        <v>227</v>
      </c>
      <c r="E122" s="56" t="s">
        <v>94</v>
      </c>
      <c r="F122" s="18" t="s">
        <v>1</v>
      </c>
      <c r="G122" s="19">
        <v>136500</v>
      </c>
      <c r="H122" s="20">
        <f>E122*G122</f>
        <v>2020200</v>
      </c>
    </row>
    <row r="123" spans="1:8" ht="18">
      <c r="A123" s="259"/>
      <c r="B123" s="18" t="s">
        <v>42</v>
      </c>
      <c r="C123" s="18">
        <v>0.3</v>
      </c>
      <c r="D123" s="18">
        <v>227</v>
      </c>
      <c r="E123" s="56" t="s">
        <v>43</v>
      </c>
      <c r="F123" s="18" t="s">
        <v>1</v>
      </c>
      <c r="G123" s="19">
        <v>306600</v>
      </c>
      <c r="H123" s="20">
        <f>E123*G123</f>
        <v>214620</v>
      </c>
    </row>
    <row r="124" spans="1:8" ht="18">
      <c r="A124" s="259"/>
      <c r="B124" s="18" t="s">
        <v>44</v>
      </c>
      <c r="C124" s="18">
        <v>37</v>
      </c>
      <c r="D124" s="18">
        <v>227</v>
      </c>
      <c r="E124" s="56" t="s">
        <v>45</v>
      </c>
      <c r="F124" s="18" t="s">
        <v>1</v>
      </c>
      <c r="G124" s="19">
        <v>67200</v>
      </c>
      <c r="H124" s="20">
        <f>E124*G124</f>
        <v>551040</v>
      </c>
    </row>
    <row r="125" spans="1:8" ht="18">
      <c r="A125" s="259"/>
      <c r="B125" s="18" t="s">
        <v>46</v>
      </c>
      <c r="C125" s="18"/>
      <c r="D125" s="18">
        <v>227</v>
      </c>
      <c r="E125" s="56"/>
      <c r="F125" s="18" t="s">
        <v>28</v>
      </c>
      <c r="G125" s="19">
        <v>1450</v>
      </c>
      <c r="H125" s="20">
        <f>184800+136500</f>
        <v>321300</v>
      </c>
    </row>
    <row r="126" spans="1:8" ht="18">
      <c r="A126" s="259"/>
      <c r="B126" s="77" t="s">
        <v>73</v>
      </c>
      <c r="C126" s="43"/>
      <c r="D126" s="43"/>
      <c r="E126" s="57" t="s">
        <v>64</v>
      </c>
      <c r="F126" s="43" t="s">
        <v>3</v>
      </c>
      <c r="G126" s="44"/>
      <c r="H126" s="20">
        <f>4935+6090</f>
        <v>11025</v>
      </c>
    </row>
    <row r="127" spans="1:8" ht="18">
      <c r="A127" s="259"/>
      <c r="B127" s="21" t="s">
        <v>25</v>
      </c>
      <c r="C127" s="21"/>
      <c r="D127" s="21"/>
      <c r="E127" s="58"/>
      <c r="F127" s="22"/>
      <c r="G127" s="21"/>
      <c r="H127" s="20">
        <v>136000</v>
      </c>
    </row>
    <row r="128" spans="1:8" ht="18">
      <c r="A128" s="274"/>
      <c r="B128" s="260"/>
      <c r="C128" s="261"/>
      <c r="D128" s="261"/>
      <c r="E128" s="261"/>
      <c r="F128" s="261"/>
      <c r="G128" s="262"/>
      <c r="H128" s="28">
        <f>SUM(H121:H127)</f>
        <v>3837512.5</v>
      </c>
    </row>
    <row r="129" spans="1:8" ht="18">
      <c r="A129" s="263" t="s">
        <v>77</v>
      </c>
      <c r="B129" s="12" t="s">
        <v>20</v>
      </c>
      <c r="C129" s="12">
        <v>120</v>
      </c>
      <c r="D129" s="12">
        <v>225</v>
      </c>
      <c r="E129" s="55" t="s">
        <v>38</v>
      </c>
      <c r="F129" s="12" t="s">
        <v>1</v>
      </c>
      <c r="G129" s="13">
        <v>21525</v>
      </c>
      <c r="H129" s="14">
        <f>E129*G129</f>
        <v>581175</v>
      </c>
    </row>
    <row r="130" spans="1:8" ht="18">
      <c r="A130" s="259"/>
      <c r="B130" s="18" t="s">
        <v>23</v>
      </c>
      <c r="C130" s="18">
        <v>78</v>
      </c>
      <c r="D130" s="18">
        <v>225</v>
      </c>
      <c r="E130" s="60">
        <v>17</v>
      </c>
      <c r="F130" s="18" t="s">
        <v>1</v>
      </c>
      <c r="G130" s="19">
        <v>123900</v>
      </c>
      <c r="H130" s="20">
        <f>E130*G130</f>
        <v>2106300</v>
      </c>
    </row>
    <row r="131" spans="1:8" ht="18">
      <c r="A131" s="259"/>
      <c r="B131" s="18" t="s">
        <v>44</v>
      </c>
      <c r="C131" s="18">
        <v>2</v>
      </c>
      <c r="D131" s="18">
        <v>225</v>
      </c>
      <c r="E131" s="56" t="s">
        <v>93</v>
      </c>
      <c r="F131" s="18" t="s">
        <v>1</v>
      </c>
      <c r="G131" s="19">
        <v>67200</v>
      </c>
      <c r="H131" s="20">
        <f>E131*G131</f>
        <v>389760</v>
      </c>
    </row>
    <row r="132" spans="1:8" ht="18">
      <c r="A132" s="259"/>
      <c r="B132" s="18" t="s">
        <v>50</v>
      </c>
      <c r="C132" s="18"/>
      <c r="D132" s="18">
        <v>225</v>
      </c>
      <c r="E132" s="56" t="s">
        <v>54</v>
      </c>
      <c r="F132" s="18" t="s">
        <v>1</v>
      </c>
      <c r="G132" s="19">
        <v>29400</v>
      </c>
      <c r="H132" s="20">
        <f>E132*G132</f>
        <v>88200</v>
      </c>
    </row>
    <row r="133" spans="1:8" ht="18">
      <c r="A133" s="259"/>
      <c r="B133" s="18" t="s">
        <v>55</v>
      </c>
      <c r="C133" s="18"/>
      <c r="D133" s="18">
        <v>225</v>
      </c>
      <c r="E133" s="59">
        <v>0.3</v>
      </c>
      <c r="F133" s="18" t="s">
        <v>1</v>
      </c>
      <c r="G133" s="31"/>
      <c r="H133" s="20">
        <f>6090+4935+6804</f>
        <v>17829</v>
      </c>
    </row>
    <row r="134" spans="1:8" ht="18">
      <c r="A134" s="259"/>
      <c r="B134" s="18" t="s">
        <v>27</v>
      </c>
      <c r="C134" s="18"/>
      <c r="D134" s="18">
        <v>225</v>
      </c>
      <c r="E134" s="56"/>
      <c r="F134" s="18" t="s">
        <v>28</v>
      </c>
      <c r="G134" s="19">
        <f>H134/225</f>
        <v>2233.1733333333332</v>
      </c>
      <c r="H134" s="20">
        <v>502464</v>
      </c>
    </row>
    <row r="135" spans="1:8" ht="18">
      <c r="A135" s="259"/>
      <c r="B135" s="21" t="s">
        <v>25</v>
      </c>
      <c r="C135" s="21"/>
      <c r="D135" s="21"/>
      <c r="E135" s="58"/>
      <c r="F135" s="22"/>
      <c r="G135" s="21"/>
      <c r="H135" s="23">
        <v>136000</v>
      </c>
    </row>
    <row r="136" spans="1:8" ht="18">
      <c r="A136" s="259"/>
      <c r="B136" s="18"/>
      <c r="C136" s="18"/>
      <c r="D136" s="2"/>
      <c r="E136" s="59"/>
      <c r="F136" s="29"/>
      <c r="G136" s="19"/>
      <c r="H136" s="30">
        <f>SUM(H129:H135)</f>
        <v>3821728</v>
      </c>
    </row>
    <row r="137" spans="1:8" ht="18">
      <c r="A137" s="263" t="s">
        <v>79</v>
      </c>
      <c r="B137" s="12" t="s">
        <v>20</v>
      </c>
      <c r="C137" s="90">
        <f>E137/D137</f>
        <v>0.1200892857142857</v>
      </c>
      <c r="D137" s="16">
        <v>224</v>
      </c>
      <c r="E137" s="55" t="s">
        <v>95</v>
      </c>
      <c r="F137" s="12" t="s">
        <v>1</v>
      </c>
      <c r="G137" s="13">
        <v>21525</v>
      </c>
      <c r="H137" s="14">
        <f>E137*G137</f>
        <v>579022.5</v>
      </c>
    </row>
    <row r="138" spans="1:8" ht="18">
      <c r="A138" s="259"/>
      <c r="B138" s="45" t="s">
        <v>56</v>
      </c>
      <c r="C138" s="45">
        <f>E138/D138</f>
        <v>3.6160714285714282E-2</v>
      </c>
      <c r="D138" s="18">
        <v>224</v>
      </c>
      <c r="E138" s="60">
        <v>8.1</v>
      </c>
      <c r="F138" s="18" t="s">
        <v>1</v>
      </c>
      <c r="G138" s="19">
        <v>199500</v>
      </c>
      <c r="H138" s="20">
        <f>E138*G138</f>
        <v>1615950</v>
      </c>
    </row>
    <row r="139" spans="1:8" ht="18">
      <c r="A139" s="259"/>
      <c r="B139" s="18" t="s">
        <v>5</v>
      </c>
      <c r="C139" s="18">
        <v>22</v>
      </c>
      <c r="D139" s="18">
        <v>224</v>
      </c>
      <c r="E139" s="60">
        <v>5.0999999999999996</v>
      </c>
      <c r="F139" s="18" t="s">
        <v>1</v>
      </c>
      <c r="G139" s="19">
        <v>136500</v>
      </c>
      <c r="H139" s="20">
        <f t="shared" ref="H139:H144" si="13">E139*G139</f>
        <v>696150</v>
      </c>
    </row>
    <row r="140" spans="1:8" ht="18">
      <c r="A140" s="259"/>
      <c r="B140" s="18" t="s">
        <v>8</v>
      </c>
      <c r="C140" s="18"/>
      <c r="D140" s="18">
        <v>224</v>
      </c>
      <c r="E140" s="59">
        <v>1</v>
      </c>
      <c r="F140" s="18" t="s">
        <v>1</v>
      </c>
      <c r="G140" s="19">
        <v>36720</v>
      </c>
      <c r="H140" s="20">
        <f t="shared" si="13"/>
        <v>36720</v>
      </c>
    </row>
    <row r="141" spans="1:8" ht="18">
      <c r="A141" s="259"/>
      <c r="B141" s="18" t="s">
        <v>57</v>
      </c>
      <c r="C141" s="18">
        <v>22</v>
      </c>
      <c r="D141" s="18">
        <v>224</v>
      </c>
      <c r="E141" s="61">
        <v>1.5</v>
      </c>
      <c r="F141" s="18" t="s">
        <v>1</v>
      </c>
      <c r="G141" s="19">
        <v>36750</v>
      </c>
      <c r="H141" s="20">
        <f t="shared" si="13"/>
        <v>55125</v>
      </c>
    </row>
    <row r="142" spans="1:8" ht="18">
      <c r="A142" s="259"/>
      <c r="B142" s="18" t="s">
        <v>35</v>
      </c>
      <c r="C142" s="18">
        <v>37</v>
      </c>
      <c r="D142" s="18">
        <v>224</v>
      </c>
      <c r="E142" s="59">
        <v>8.1999999999999993</v>
      </c>
      <c r="F142" s="18" t="s">
        <v>1</v>
      </c>
      <c r="G142" s="19">
        <v>47250</v>
      </c>
      <c r="H142" s="20">
        <f t="shared" si="13"/>
        <v>387449.99999999994</v>
      </c>
    </row>
    <row r="143" spans="1:8" ht="18">
      <c r="A143" s="259"/>
      <c r="B143" s="18" t="s">
        <v>11</v>
      </c>
      <c r="C143" s="18"/>
      <c r="D143" s="18"/>
      <c r="E143" s="61">
        <v>0.1</v>
      </c>
      <c r="F143" s="18" t="s">
        <v>1</v>
      </c>
      <c r="G143" s="19">
        <v>60900</v>
      </c>
      <c r="H143" s="20">
        <f t="shared" si="13"/>
        <v>6090</v>
      </c>
    </row>
    <row r="144" spans="1:8" ht="18">
      <c r="A144" s="259"/>
      <c r="B144" s="18" t="s">
        <v>58</v>
      </c>
      <c r="C144" s="18"/>
      <c r="D144" s="18"/>
      <c r="E144" s="61">
        <v>0.1</v>
      </c>
      <c r="F144" s="18" t="s">
        <v>1</v>
      </c>
      <c r="G144" s="44">
        <v>49350</v>
      </c>
      <c r="H144" s="20">
        <f t="shared" si="13"/>
        <v>4935</v>
      </c>
    </row>
    <row r="145" spans="1:8" ht="18">
      <c r="A145" s="259"/>
      <c r="B145" s="18" t="s">
        <v>59</v>
      </c>
      <c r="C145" s="18"/>
      <c r="D145" s="18">
        <v>224</v>
      </c>
      <c r="E145" s="59"/>
      <c r="F145" s="18" t="s">
        <v>24</v>
      </c>
      <c r="G145" s="19">
        <v>1210</v>
      </c>
      <c r="H145" s="20">
        <v>287700</v>
      </c>
    </row>
    <row r="146" spans="1:8" ht="18">
      <c r="A146" s="274"/>
      <c r="B146" s="21" t="s">
        <v>25</v>
      </c>
      <c r="C146" s="21"/>
      <c r="D146" s="21"/>
      <c r="E146" s="58"/>
      <c r="F146" s="22"/>
      <c r="G146" s="21"/>
      <c r="H146" s="23">
        <v>136000</v>
      </c>
    </row>
    <row r="147" spans="1:8" ht="18">
      <c r="A147" s="32"/>
      <c r="B147" s="24"/>
      <c r="C147" s="25"/>
      <c r="D147" s="25"/>
      <c r="E147" s="51"/>
      <c r="F147" s="25"/>
      <c r="G147" s="26"/>
      <c r="H147" s="28">
        <f>SUM(H137:H146)</f>
        <v>3805142.5</v>
      </c>
    </row>
    <row r="148" spans="1:8" ht="18">
      <c r="A148" s="263" t="s">
        <v>78</v>
      </c>
      <c r="B148" s="68" t="s">
        <v>20</v>
      </c>
      <c r="C148" s="66">
        <f>E148/D148</f>
        <v>0.1200892857142857</v>
      </c>
      <c r="D148" s="18">
        <v>224</v>
      </c>
      <c r="E148" s="81" t="s">
        <v>95</v>
      </c>
      <c r="F148" s="12" t="s">
        <v>1</v>
      </c>
      <c r="G148" s="70">
        <v>21525</v>
      </c>
      <c r="H148" s="46">
        <f>E148*G148</f>
        <v>579022.5</v>
      </c>
    </row>
    <row r="149" spans="1:8" ht="18">
      <c r="A149" s="259"/>
      <c r="B149" s="69" t="s">
        <v>9</v>
      </c>
      <c r="C149" s="52">
        <f t="shared" ref="C149:C150" si="14">E149/D149</f>
        <v>7.6339285714285721E-2</v>
      </c>
      <c r="D149" s="18">
        <v>224</v>
      </c>
      <c r="E149" s="69">
        <v>17.100000000000001</v>
      </c>
      <c r="F149" s="18" t="s">
        <v>1</v>
      </c>
      <c r="G149" s="72">
        <v>131250</v>
      </c>
      <c r="H149" s="20">
        <f>E149*G149</f>
        <v>2244375</v>
      </c>
    </row>
    <row r="150" spans="1:8" ht="18">
      <c r="A150" s="259"/>
      <c r="B150" s="69" t="s">
        <v>6</v>
      </c>
      <c r="C150" s="67">
        <f t="shared" si="14"/>
        <v>0.5758928571428571</v>
      </c>
      <c r="D150" s="18">
        <v>224</v>
      </c>
      <c r="E150" s="69">
        <v>129</v>
      </c>
      <c r="F150" s="18" t="s">
        <v>1</v>
      </c>
      <c r="G150" s="72">
        <v>3672</v>
      </c>
      <c r="H150" s="20">
        <f t="shared" ref="H150:H153" si="15">E150*G150</f>
        <v>473688</v>
      </c>
    </row>
    <row r="151" spans="1:8" ht="18">
      <c r="A151" s="259"/>
      <c r="B151" s="69" t="s">
        <v>7</v>
      </c>
      <c r="C151" s="67"/>
      <c r="D151" s="18"/>
      <c r="E151" s="82" t="s">
        <v>26</v>
      </c>
      <c r="F151" s="18"/>
      <c r="G151" s="73">
        <v>58320</v>
      </c>
      <c r="H151" s="20">
        <f t="shared" si="15"/>
        <v>58320</v>
      </c>
    </row>
    <row r="152" spans="1:8" ht="18">
      <c r="A152" s="259"/>
      <c r="B152" s="69" t="s">
        <v>90</v>
      </c>
      <c r="C152" s="67"/>
      <c r="D152" s="18"/>
      <c r="E152" s="69">
        <v>0.1</v>
      </c>
      <c r="F152" s="18" t="s">
        <v>3</v>
      </c>
      <c r="G152" s="72">
        <v>60900</v>
      </c>
      <c r="H152" s="20">
        <f t="shared" si="15"/>
        <v>6090</v>
      </c>
    </row>
    <row r="153" spans="1:8" ht="18">
      <c r="A153" s="259"/>
      <c r="B153" s="69" t="s">
        <v>8</v>
      </c>
      <c r="C153" s="18"/>
      <c r="D153" s="18"/>
      <c r="E153" s="82" t="s">
        <v>26</v>
      </c>
      <c r="F153" s="18" t="s">
        <v>1</v>
      </c>
      <c r="G153" s="72">
        <v>36720</v>
      </c>
      <c r="H153" s="20">
        <f t="shared" si="15"/>
        <v>36720</v>
      </c>
    </row>
    <row r="154" spans="1:8" ht="18">
      <c r="A154" s="259"/>
      <c r="B154" s="69" t="s">
        <v>46</v>
      </c>
      <c r="C154" s="48"/>
      <c r="D154" s="18"/>
      <c r="E154" s="69"/>
      <c r="F154" s="18" t="s">
        <v>28</v>
      </c>
      <c r="G154" s="72">
        <v>1217</v>
      </c>
      <c r="H154" s="20">
        <f>138600+136500</f>
        <v>275100</v>
      </c>
    </row>
    <row r="155" spans="1:8" ht="18">
      <c r="A155" s="274"/>
      <c r="B155" s="80" t="s">
        <v>25</v>
      </c>
      <c r="C155" s="21"/>
      <c r="D155" s="21"/>
      <c r="E155" s="58"/>
      <c r="F155" s="23"/>
      <c r="G155" s="21"/>
      <c r="H155" s="23">
        <v>136000</v>
      </c>
    </row>
    <row r="156" spans="1:8" ht="18">
      <c r="A156" s="2"/>
      <c r="B156" s="2"/>
      <c r="C156" s="2"/>
      <c r="D156" s="2"/>
      <c r="E156" s="63"/>
      <c r="F156" s="5"/>
      <c r="G156" s="2"/>
      <c r="H156" s="28">
        <f>SUM(H148:H155)</f>
        <v>3809315.5</v>
      </c>
    </row>
    <row r="157" spans="1:8" ht="18">
      <c r="A157" s="271" t="s">
        <v>29</v>
      </c>
      <c r="B157" s="271"/>
      <c r="C157" s="271" t="s">
        <v>30</v>
      </c>
      <c r="D157" s="271"/>
      <c r="E157" s="271"/>
      <c r="F157" s="1"/>
      <c r="G157" s="244" t="s">
        <v>31</v>
      </c>
      <c r="H157" s="244"/>
    </row>
    <row r="161" spans="1:8" ht="15.6">
      <c r="A161" s="6" t="s">
        <v>0</v>
      </c>
      <c r="B161" s="6"/>
    </row>
    <row r="162" spans="1:8" ht="15.6">
      <c r="A162" s="244" t="s">
        <v>34</v>
      </c>
      <c r="B162" s="244"/>
      <c r="C162" s="244"/>
      <c r="D162" s="244"/>
      <c r="E162" s="244"/>
      <c r="F162" s="244"/>
      <c r="G162" s="244"/>
      <c r="H162" s="244"/>
    </row>
    <row r="163" spans="1:8" ht="15.6">
      <c r="A163" s="272" t="s">
        <v>69</v>
      </c>
      <c r="B163" s="272"/>
      <c r="C163" s="272"/>
      <c r="D163" s="272"/>
      <c r="E163" s="272"/>
      <c r="F163" s="272"/>
      <c r="G163" s="272"/>
      <c r="H163" s="272"/>
    </row>
    <row r="164" spans="1:8" ht="40.200000000000003">
      <c r="A164" s="7" t="s">
        <v>13</v>
      </c>
      <c r="B164" s="8" t="s">
        <v>14</v>
      </c>
      <c r="C164" s="9" t="s">
        <v>15</v>
      </c>
      <c r="D164" s="10" t="s">
        <v>16</v>
      </c>
      <c r="E164" s="50" t="s">
        <v>17</v>
      </c>
      <c r="F164" s="11" t="s">
        <v>4</v>
      </c>
      <c r="G164" s="7" t="s">
        <v>18</v>
      </c>
      <c r="H164" s="7" t="s">
        <v>19</v>
      </c>
    </row>
    <row r="165" spans="1:8" ht="18">
      <c r="A165" s="268">
        <v>2</v>
      </c>
      <c r="B165" s="12" t="s">
        <v>20</v>
      </c>
      <c r="C165" s="12">
        <v>120</v>
      </c>
      <c r="D165" s="12">
        <v>225</v>
      </c>
      <c r="E165" s="55" t="s">
        <v>38</v>
      </c>
      <c r="F165" s="12" t="s">
        <v>1</v>
      </c>
      <c r="G165" s="13">
        <v>21525</v>
      </c>
      <c r="H165" s="14">
        <f>E165*G165</f>
        <v>581175</v>
      </c>
    </row>
    <row r="166" spans="1:8" ht="18">
      <c r="A166" s="269"/>
      <c r="B166" s="18" t="s">
        <v>5</v>
      </c>
      <c r="C166" s="18">
        <v>63</v>
      </c>
      <c r="D166" s="18">
        <v>225</v>
      </c>
      <c r="E166" s="56" t="s">
        <v>65</v>
      </c>
      <c r="F166" s="18" t="s">
        <v>1</v>
      </c>
      <c r="G166" s="19">
        <v>136500</v>
      </c>
      <c r="H166" s="20">
        <f>E166*G166</f>
        <v>2061150</v>
      </c>
    </row>
    <row r="167" spans="1:8" ht="18">
      <c r="A167" s="269"/>
      <c r="B167" s="18" t="s">
        <v>42</v>
      </c>
      <c r="C167" s="18">
        <v>0.3</v>
      </c>
      <c r="D167" s="18">
        <v>225</v>
      </c>
      <c r="E167" s="56" t="s">
        <v>43</v>
      </c>
      <c r="F167" s="18" t="s">
        <v>1</v>
      </c>
      <c r="G167" s="19">
        <v>306600</v>
      </c>
      <c r="H167" s="20">
        <f>E167*G167</f>
        <v>214620</v>
      </c>
    </row>
    <row r="168" spans="1:8" ht="18">
      <c r="A168" s="269"/>
      <c r="B168" s="18" t="s">
        <v>44</v>
      </c>
      <c r="C168" s="18">
        <v>37</v>
      </c>
      <c r="D168" s="18">
        <v>225</v>
      </c>
      <c r="E168" s="56" t="s">
        <v>45</v>
      </c>
      <c r="F168" s="18" t="s">
        <v>1</v>
      </c>
      <c r="G168" s="19">
        <v>67200</v>
      </c>
      <c r="H168" s="20">
        <f>E168*G168</f>
        <v>551040</v>
      </c>
    </row>
    <row r="169" spans="1:8" ht="18">
      <c r="A169" s="269"/>
      <c r="B169" s="18" t="s">
        <v>46</v>
      </c>
      <c r="C169" s="18"/>
      <c r="D169" s="18">
        <v>225</v>
      </c>
      <c r="E169" s="56"/>
      <c r="F169" s="18" t="s">
        <v>28</v>
      </c>
      <c r="G169" s="19">
        <v>1450</v>
      </c>
      <c r="H169" s="20">
        <v>275100</v>
      </c>
    </row>
    <row r="170" spans="1:8" ht="18">
      <c r="A170" s="269"/>
      <c r="B170" s="43" t="s">
        <v>47</v>
      </c>
      <c r="C170" s="43"/>
      <c r="D170" s="43"/>
      <c r="E170" s="57" t="s">
        <v>64</v>
      </c>
      <c r="F170" s="43" t="s">
        <v>3</v>
      </c>
      <c r="G170" s="44">
        <v>49350</v>
      </c>
      <c r="H170" s="20">
        <f>E170*G170</f>
        <v>9870</v>
      </c>
    </row>
    <row r="171" spans="1:8" ht="18">
      <c r="A171" s="269"/>
      <c r="B171" s="21" t="s">
        <v>25</v>
      </c>
      <c r="C171" s="21"/>
      <c r="D171" s="21"/>
      <c r="E171" s="58"/>
      <c r="F171" s="22"/>
      <c r="G171" s="21"/>
      <c r="H171" s="23">
        <v>136000</v>
      </c>
    </row>
    <row r="172" spans="1:8" ht="18">
      <c r="A172" s="270"/>
      <c r="B172" s="260"/>
      <c r="C172" s="261"/>
      <c r="D172" s="261"/>
      <c r="E172" s="261"/>
      <c r="F172" s="261"/>
      <c r="G172" s="262"/>
      <c r="H172" s="28">
        <f>SUM(H165:H171)</f>
        <v>3828955</v>
      </c>
    </row>
    <row r="173" spans="1:8" ht="18">
      <c r="A173" s="268">
        <v>3</v>
      </c>
      <c r="B173" s="12" t="s">
        <v>20</v>
      </c>
      <c r="C173" s="12">
        <v>120</v>
      </c>
      <c r="D173" s="18">
        <v>226</v>
      </c>
      <c r="E173" s="55" t="s">
        <v>67</v>
      </c>
      <c r="F173" s="12" t="s">
        <v>1</v>
      </c>
      <c r="G173" s="13">
        <v>21525</v>
      </c>
      <c r="H173" s="14">
        <f>E173*G173</f>
        <v>583327.5</v>
      </c>
    </row>
    <row r="174" spans="1:8" ht="18">
      <c r="A174" s="269"/>
      <c r="B174" s="18" t="s">
        <v>48</v>
      </c>
      <c r="C174" s="18">
        <v>118</v>
      </c>
      <c r="D174" s="18">
        <v>226</v>
      </c>
      <c r="E174" s="56" t="s">
        <v>68</v>
      </c>
      <c r="F174" s="18" t="s">
        <v>1</v>
      </c>
      <c r="G174" s="19">
        <v>156600</v>
      </c>
      <c r="H174" s="20">
        <f>E174*G174</f>
        <v>2302020</v>
      </c>
    </row>
    <row r="175" spans="1:8" ht="18">
      <c r="A175" s="269"/>
      <c r="B175" s="18" t="s">
        <v>49</v>
      </c>
      <c r="C175" s="18">
        <v>0.5</v>
      </c>
      <c r="D175" s="18">
        <v>226</v>
      </c>
      <c r="E175" s="59">
        <v>130</v>
      </c>
      <c r="F175" s="18" t="s">
        <v>2</v>
      </c>
      <c r="G175" s="19">
        <v>3456</v>
      </c>
      <c r="H175" s="20">
        <f>E175*G175</f>
        <v>449280</v>
      </c>
    </row>
    <row r="176" spans="1:8" ht="18">
      <c r="A176" s="269"/>
      <c r="B176" s="18" t="s">
        <v>50</v>
      </c>
      <c r="C176" s="18"/>
      <c r="D176" s="18">
        <v>226</v>
      </c>
      <c r="E176" s="59">
        <v>2</v>
      </c>
      <c r="F176" s="18" t="s">
        <v>1</v>
      </c>
      <c r="G176" s="20">
        <v>29400</v>
      </c>
      <c r="H176" s="20">
        <f>E176*G176</f>
        <v>58800</v>
      </c>
    </row>
    <row r="177" spans="1:8" ht="18">
      <c r="A177" s="269"/>
      <c r="B177" s="18" t="s">
        <v>51</v>
      </c>
      <c r="C177" s="18"/>
      <c r="D177" s="18">
        <v>226</v>
      </c>
      <c r="E177" s="59">
        <v>1</v>
      </c>
      <c r="F177" s="18" t="s">
        <v>1</v>
      </c>
      <c r="G177" s="20">
        <v>164850</v>
      </c>
      <c r="H177" s="20">
        <f t="shared" ref="H177:H179" si="16">E177*G177</f>
        <v>164850</v>
      </c>
    </row>
    <row r="178" spans="1:8" ht="18">
      <c r="A178" s="269"/>
      <c r="B178" s="18" t="s">
        <v>12</v>
      </c>
      <c r="C178" s="18"/>
      <c r="D178" s="18">
        <v>226</v>
      </c>
      <c r="E178" s="59">
        <v>6</v>
      </c>
      <c r="F178" s="18" t="s">
        <v>1</v>
      </c>
      <c r="G178" s="19">
        <v>21000</v>
      </c>
      <c r="H178" s="20">
        <f t="shared" si="16"/>
        <v>126000</v>
      </c>
    </row>
    <row r="179" spans="1:8" ht="18">
      <c r="A179" s="269"/>
      <c r="B179" s="18" t="s">
        <v>11</v>
      </c>
      <c r="C179" s="18"/>
      <c r="D179" s="18">
        <v>226</v>
      </c>
      <c r="E179" s="56" t="s">
        <v>52</v>
      </c>
      <c r="F179" s="18" t="s">
        <v>1</v>
      </c>
      <c r="G179" s="19">
        <v>60900</v>
      </c>
      <c r="H179" s="20">
        <f t="shared" si="16"/>
        <v>6090</v>
      </c>
    </row>
    <row r="180" spans="1:8" ht="18">
      <c r="A180" s="269"/>
      <c r="B180" s="21" t="s">
        <v>66</v>
      </c>
      <c r="C180" s="43"/>
      <c r="D180" s="18">
        <v>226</v>
      </c>
      <c r="E180" s="57" t="s">
        <v>64</v>
      </c>
      <c r="F180" s="18" t="s">
        <v>1</v>
      </c>
      <c r="G180" s="44">
        <v>49350</v>
      </c>
      <c r="H180" s="20">
        <f>E180*G180</f>
        <v>9870</v>
      </c>
    </row>
    <row r="181" spans="1:8" ht="18">
      <c r="A181" s="269"/>
      <c r="B181" s="21" t="s">
        <v>25</v>
      </c>
      <c r="C181" s="21"/>
      <c r="D181" s="21"/>
      <c r="E181" s="58"/>
      <c r="F181" s="22"/>
      <c r="G181" s="21"/>
      <c r="H181" s="20">
        <v>136000</v>
      </c>
    </row>
    <row r="182" spans="1:8" ht="18">
      <c r="A182" s="270"/>
      <c r="B182" s="260"/>
      <c r="C182" s="261"/>
      <c r="D182" s="261"/>
      <c r="E182" s="261"/>
      <c r="F182" s="261"/>
      <c r="G182" s="262"/>
      <c r="H182" s="28">
        <f>SUM(H173:H181)</f>
        <v>3836237.5</v>
      </c>
    </row>
    <row r="183" spans="1:8" ht="18">
      <c r="A183" s="268">
        <v>4</v>
      </c>
      <c r="B183" s="12" t="s">
        <v>20</v>
      </c>
      <c r="C183" s="12">
        <v>120</v>
      </c>
      <c r="D183" s="12">
        <v>226</v>
      </c>
      <c r="E183" s="55" t="s">
        <v>67</v>
      </c>
      <c r="F183" s="12" t="s">
        <v>1</v>
      </c>
      <c r="G183" s="13">
        <v>21525</v>
      </c>
      <c r="H183" s="14">
        <f>E183*G183</f>
        <v>583327.5</v>
      </c>
    </row>
    <row r="184" spans="1:8" ht="18">
      <c r="A184" s="269"/>
      <c r="B184" s="18" t="s">
        <v>23</v>
      </c>
      <c r="C184" s="18">
        <v>78</v>
      </c>
      <c r="D184" s="18">
        <v>226</v>
      </c>
      <c r="E184" s="60">
        <v>17</v>
      </c>
      <c r="F184" s="18" t="s">
        <v>1</v>
      </c>
      <c r="G184" s="19">
        <v>123900</v>
      </c>
      <c r="H184" s="20">
        <f>E184*G184</f>
        <v>2106300</v>
      </c>
    </row>
    <row r="185" spans="1:8" ht="18">
      <c r="A185" s="269"/>
      <c r="B185" s="18" t="s">
        <v>44</v>
      </c>
      <c r="C185" s="18">
        <v>2</v>
      </c>
      <c r="D185" s="18">
        <v>226</v>
      </c>
      <c r="E185" s="56" t="s">
        <v>53</v>
      </c>
      <c r="F185" s="18" t="s">
        <v>1</v>
      </c>
      <c r="G185" s="19">
        <v>67200</v>
      </c>
      <c r="H185" s="20">
        <f>E185*G185</f>
        <v>403200</v>
      </c>
    </row>
    <row r="186" spans="1:8" ht="18">
      <c r="A186" s="269"/>
      <c r="B186" s="18" t="s">
        <v>50</v>
      </c>
      <c r="C186" s="18"/>
      <c r="D186" s="18">
        <v>226</v>
      </c>
      <c r="E186" s="56" t="s">
        <v>54</v>
      </c>
      <c r="F186" s="18" t="s">
        <v>1</v>
      </c>
      <c r="G186" s="19">
        <v>29400</v>
      </c>
      <c r="H186" s="20">
        <f>E186*G186</f>
        <v>88200</v>
      </c>
    </row>
    <row r="187" spans="1:8" ht="18">
      <c r="A187" s="269"/>
      <c r="B187" s="18" t="s">
        <v>55</v>
      </c>
      <c r="C187" s="18"/>
      <c r="D187" s="18">
        <v>226</v>
      </c>
      <c r="E187" s="59"/>
      <c r="F187" s="20"/>
      <c r="G187" s="31"/>
      <c r="H187" s="20">
        <v>22764</v>
      </c>
    </row>
    <row r="188" spans="1:8" ht="18">
      <c r="A188" s="269"/>
      <c r="B188" s="18" t="s">
        <v>27</v>
      </c>
      <c r="C188" s="18"/>
      <c r="D188" s="18">
        <v>226</v>
      </c>
      <c r="E188" s="56"/>
      <c r="F188" s="18" t="s">
        <v>28</v>
      </c>
      <c r="G188" s="19">
        <f>H188/225</f>
        <v>2233.1733333333332</v>
      </c>
      <c r="H188" s="20">
        <v>502464</v>
      </c>
    </row>
    <row r="189" spans="1:8" ht="18">
      <c r="A189" s="269"/>
      <c r="B189" s="21" t="s">
        <v>25</v>
      </c>
      <c r="C189" s="21"/>
      <c r="D189" s="21"/>
      <c r="E189" s="58"/>
      <c r="F189" s="22"/>
      <c r="G189" s="21"/>
      <c r="H189" s="23">
        <v>136000</v>
      </c>
    </row>
    <row r="190" spans="1:8" ht="18">
      <c r="A190" s="269"/>
      <c r="B190" s="18"/>
      <c r="C190" s="18"/>
      <c r="D190" s="18"/>
      <c r="E190" s="59"/>
      <c r="F190" s="29"/>
      <c r="G190" s="19"/>
      <c r="H190" s="30">
        <f>SUM(H183:H189)</f>
        <v>3842255.5</v>
      </c>
    </row>
    <row r="191" spans="1:8" ht="18">
      <c r="A191" s="268">
        <v>5</v>
      </c>
      <c r="B191" s="12" t="s">
        <v>20</v>
      </c>
      <c r="C191" s="12">
        <v>120</v>
      </c>
      <c r="D191" s="18">
        <v>225</v>
      </c>
      <c r="E191" s="55" t="s">
        <v>38</v>
      </c>
      <c r="F191" s="12" t="s">
        <v>1</v>
      </c>
      <c r="G191" s="13">
        <v>21525</v>
      </c>
      <c r="H191" s="14">
        <f>E191*G191</f>
        <v>581175</v>
      </c>
    </row>
    <row r="192" spans="1:8" ht="18">
      <c r="A192" s="269"/>
      <c r="B192" s="45" t="s">
        <v>56</v>
      </c>
      <c r="C192" s="45">
        <v>37</v>
      </c>
      <c r="D192" s="18">
        <v>225</v>
      </c>
      <c r="E192" s="60">
        <v>8.1999999999999993</v>
      </c>
      <c r="F192" s="18" t="s">
        <v>1</v>
      </c>
      <c r="G192" s="19">
        <v>199500</v>
      </c>
      <c r="H192" s="20">
        <f>E192*G192</f>
        <v>1635899.9999999998</v>
      </c>
    </row>
    <row r="193" spans="1:8" ht="18">
      <c r="A193" s="269"/>
      <c r="B193" s="18" t="s">
        <v>5</v>
      </c>
      <c r="C193" s="18">
        <v>22</v>
      </c>
      <c r="D193" s="18">
        <v>225</v>
      </c>
      <c r="E193" s="60">
        <v>5</v>
      </c>
      <c r="F193" s="18" t="s">
        <v>1</v>
      </c>
      <c r="G193" s="19">
        <v>136500</v>
      </c>
      <c r="H193" s="20">
        <f t="shared" ref="H193:H198" si="17">E193*G193</f>
        <v>682500</v>
      </c>
    </row>
    <row r="194" spans="1:8" ht="18">
      <c r="A194" s="269"/>
      <c r="B194" s="18" t="s">
        <v>8</v>
      </c>
      <c r="C194" s="18"/>
      <c r="D194" s="18">
        <v>225</v>
      </c>
      <c r="E194" s="59">
        <v>1</v>
      </c>
      <c r="F194" s="18" t="s">
        <v>1</v>
      </c>
      <c r="G194" s="19">
        <v>36720</v>
      </c>
      <c r="H194" s="20">
        <f t="shared" si="17"/>
        <v>36720</v>
      </c>
    </row>
    <row r="195" spans="1:8" ht="18">
      <c r="A195" s="269"/>
      <c r="B195" s="18" t="s">
        <v>57</v>
      </c>
      <c r="C195" s="18">
        <v>0.68</v>
      </c>
      <c r="D195" s="18">
        <v>225</v>
      </c>
      <c r="E195" s="61">
        <v>1.5</v>
      </c>
      <c r="F195" s="18" t="s">
        <v>1</v>
      </c>
      <c r="G195" s="19">
        <v>36750</v>
      </c>
      <c r="H195" s="20">
        <f t="shared" si="17"/>
        <v>55125</v>
      </c>
    </row>
    <row r="196" spans="1:8" ht="18">
      <c r="A196" s="269"/>
      <c r="B196" s="18" t="s">
        <v>35</v>
      </c>
      <c r="C196" s="18">
        <v>37</v>
      </c>
      <c r="D196" s="18">
        <v>225</v>
      </c>
      <c r="E196" s="59">
        <v>8</v>
      </c>
      <c r="F196" s="18" t="s">
        <v>1</v>
      </c>
      <c r="G196" s="19">
        <v>47250</v>
      </c>
      <c r="H196" s="20">
        <f t="shared" si="17"/>
        <v>378000</v>
      </c>
    </row>
    <row r="197" spans="1:8" ht="18">
      <c r="A197" s="269"/>
      <c r="B197" s="18" t="s">
        <v>11</v>
      </c>
      <c r="C197" s="18"/>
      <c r="D197" s="18"/>
      <c r="E197" s="61">
        <v>0.1</v>
      </c>
      <c r="F197" s="18" t="s">
        <v>1</v>
      </c>
      <c r="G197" s="19">
        <v>60900</v>
      </c>
      <c r="H197" s="20">
        <f t="shared" si="17"/>
        <v>6090</v>
      </c>
    </row>
    <row r="198" spans="1:8" ht="18">
      <c r="A198" s="269"/>
      <c r="B198" s="18" t="s">
        <v>58</v>
      </c>
      <c r="C198" s="18"/>
      <c r="D198" s="18"/>
      <c r="E198" s="61">
        <v>0.1</v>
      </c>
      <c r="F198" s="18" t="s">
        <v>1</v>
      </c>
      <c r="G198" s="44">
        <v>49350</v>
      </c>
      <c r="H198" s="20">
        <f t="shared" si="17"/>
        <v>4935</v>
      </c>
    </row>
    <row r="199" spans="1:8" ht="18">
      <c r="A199" s="269"/>
      <c r="B199" s="18" t="s">
        <v>59</v>
      </c>
      <c r="C199" s="18"/>
      <c r="D199" s="18">
        <v>225</v>
      </c>
      <c r="E199" s="59"/>
      <c r="F199" s="18" t="s">
        <v>24</v>
      </c>
      <c r="G199" s="19">
        <v>1210</v>
      </c>
      <c r="H199" s="20">
        <v>287700</v>
      </c>
    </row>
    <row r="200" spans="1:8" ht="18">
      <c r="A200" s="270"/>
      <c r="B200" s="21" t="s">
        <v>25</v>
      </c>
      <c r="C200" s="21"/>
      <c r="D200" s="21"/>
      <c r="E200" s="58"/>
      <c r="F200" s="22"/>
      <c r="G200" s="21"/>
      <c r="H200" s="23">
        <v>136000</v>
      </c>
    </row>
    <row r="201" spans="1:8" ht="18">
      <c r="A201" s="32"/>
      <c r="B201" s="24"/>
      <c r="C201" s="25"/>
      <c r="D201" s="25"/>
      <c r="E201" s="51"/>
      <c r="F201" s="25"/>
      <c r="G201" s="26"/>
      <c r="H201" s="28">
        <f>SUM(H191:H200)</f>
        <v>3804145</v>
      </c>
    </row>
    <row r="202" spans="1:8" ht="18">
      <c r="A202" s="268">
        <v>6</v>
      </c>
      <c r="B202" s="12" t="s">
        <v>20</v>
      </c>
      <c r="C202" s="66">
        <f>E202/D202</f>
        <v>0.12</v>
      </c>
      <c r="D202" s="18">
        <v>225</v>
      </c>
      <c r="E202" s="55" t="s">
        <v>38</v>
      </c>
      <c r="F202" s="12" t="s">
        <v>1</v>
      </c>
      <c r="G202" s="13">
        <v>21525</v>
      </c>
      <c r="H202" s="46">
        <f>E202*G202</f>
        <v>581175</v>
      </c>
    </row>
    <row r="203" spans="1:8" ht="18">
      <c r="A203" s="269"/>
      <c r="B203" s="16" t="s">
        <v>60</v>
      </c>
      <c r="C203" s="52">
        <f t="shared" ref="C203:C204" si="18">E203/D203</f>
        <v>5.1555555555555556E-2</v>
      </c>
      <c r="D203" s="18">
        <v>225</v>
      </c>
      <c r="E203" s="62" t="s">
        <v>70</v>
      </c>
      <c r="F203" s="18" t="s">
        <v>1</v>
      </c>
      <c r="G203" s="47">
        <v>167400</v>
      </c>
      <c r="H203" s="20">
        <f>E203*G203</f>
        <v>1941840</v>
      </c>
    </row>
    <row r="204" spans="1:8" ht="18">
      <c r="A204" s="269"/>
      <c r="B204" s="16" t="s">
        <v>61</v>
      </c>
      <c r="C204" s="67">
        <f t="shared" si="18"/>
        <v>4.4888888888888888E-2</v>
      </c>
      <c r="D204" s="18">
        <v>225</v>
      </c>
      <c r="E204" s="62" t="s">
        <v>62</v>
      </c>
      <c r="F204" s="18" t="s">
        <v>1</v>
      </c>
      <c r="G204" s="47">
        <v>82950</v>
      </c>
      <c r="H204" s="20">
        <f t="shared" ref="H204:H205" si="19">E204*G204</f>
        <v>837795</v>
      </c>
    </row>
    <row r="205" spans="1:8" ht="18">
      <c r="A205" s="269"/>
      <c r="B205" s="18" t="s">
        <v>63</v>
      </c>
      <c r="C205" s="18"/>
      <c r="D205" s="18"/>
      <c r="E205" s="61">
        <v>0.1</v>
      </c>
      <c r="F205" s="18" t="s">
        <v>1</v>
      </c>
      <c r="G205" s="19">
        <v>49350</v>
      </c>
      <c r="H205" s="17">
        <f t="shared" si="19"/>
        <v>4935</v>
      </c>
    </row>
    <row r="206" spans="1:8" ht="18">
      <c r="A206" s="269"/>
      <c r="B206" s="16" t="s">
        <v>46</v>
      </c>
      <c r="C206" s="48"/>
      <c r="D206" s="18"/>
      <c r="E206" s="62"/>
      <c r="F206" s="18" t="s">
        <v>28</v>
      </c>
      <c r="G206" s="47"/>
      <c r="H206" s="20">
        <v>321300</v>
      </c>
    </row>
    <row r="207" spans="1:8" ht="18">
      <c r="A207" s="270"/>
      <c r="B207" s="21" t="s">
        <v>25</v>
      </c>
      <c r="C207" s="21"/>
      <c r="D207" s="21"/>
      <c r="E207" s="58"/>
      <c r="F207" s="23"/>
      <c r="G207" s="21"/>
      <c r="H207" s="23">
        <v>136000</v>
      </c>
    </row>
    <row r="208" spans="1:8" ht="18">
      <c r="A208" s="2"/>
      <c r="B208" s="2"/>
      <c r="C208" s="2"/>
      <c r="D208" s="2"/>
      <c r="E208" s="63"/>
      <c r="F208" s="5"/>
      <c r="G208" s="2"/>
      <c r="H208" s="28">
        <f>SUM(H202:H207)</f>
        <v>3823045</v>
      </c>
    </row>
    <row r="209" spans="1:8" ht="18">
      <c r="A209" s="271" t="s">
        <v>29</v>
      </c>
      <c r="B209" s="271"/>
      <c r="C209" s="271" t="s">
        <v>30</v>
      </c>
      <c r="D209" s="271"/>
      <c r="E209" s="271"/>
      <c r="F209" s="1"/>
      <c r="G209" s="244" t="s">
        <v>31</v>
      </c>
      <c r="H209" s="244"/>
    </row>
    <row r="210" spans="1:8" ht="18">
      <c r="A210" s="41"/>
      <c r="B210" s="41"/>
      <c r="C210" s="41"/>
      <c r="D210" s="41"/>
      <c r="E210" s="53"/>
      <c r="F210" s="1"/>
      <c r="G210" s="41"/>
      <c r="H210" s="41"/>
    </row>
    <row r="214" spans="1:8" ht="15.6">
      <c r="A214" s="6" t="s">
        <v>0</v>
      </c>
      <c r="B214" s="6"/>
    </row>
    <row r="215" spans="1:8" ht="15.6">
      <c r="A215" s="244" t="s">
        <v>34</v>
      </c>
      <c r="B215" s="244"/>
      <c r="C215" s="244"/>
      <c r="D215" s="244"/>
      <c r="E215" s="244"/>
      <c r="F215" s="244"/>
      <c r="G215" s="244"/>
      <c r="H215" s="244"/>
    </row>
    <row r="216" spans="1:8" s="36" customFormat="1" ht="15.6">
      <c r="A216" s="278" t="s">
        <v>37</v>
      </c>
      <c r="B216" s="278"/>
      <c r="C216" s="278"/>
      <c r="D216" s="278"/>
      <c r="E216" s="278"/>
      <c r="F216" s="278"/>
      <c r="G216" s="278"/>
      <c r="H216" s="278"/>
    </row>
    <row r="217" spans="1:8" ht="40.200000000000003">
      <c r="A217" s="7" t="s">
        <v>13</v>
      </c>
      <c r="B217" s="8" t="s">
        <v>14</v>
      </c>
      <c r="C217" s="9" t="s">
        <v>15</v>
      </c>
      <c r="D217" s="10" t="s">
        <v>16</v>
      </c>
      <c r="E217" s="50" t="s">
        <v>17</v>
      </c>
      <c r="F217" s="11" t="s">
        <v>4</v>
      </c>
      <c r="G217" s="7" t="s">
        <v>18</v>
      </c>
      <c r="H217" s="7" t="s">
        <v>19</v>
      </c>
    </row>
    <row r="218" spans="1:8" ht="18">
      <c r="A218" s="275">
        <v>45597</v>
      </c>
      <c r="B218" s="12" t="s">
        <v>20</v>
      </c>
      <c r="C218" s="2">
        <v>120</v>
      </c>
      <c r="D218" s="12">
        <v>225</v>
      </c>
      <c r="E218" s="55" t="s">
        <v>38</v>
      </c>
      <c r="F218" s="12" t="s">
        <v>1</v>
      </c>
      <c r="G218" s="13">
        <v>21525</v>
      </c>
      <c r="H218" s="5">
        <f>E218*G218</f>
        <v>581175</v>
      </c>
    </row>
    <row r="219" spans="1:8">
      <c r="A219" s="276"/>
      <c r="B219" s="15" t="s">
        <v>21</v>
      </c>
      <c r="C219" s="16">
        <v>36</v>
      </c>
      <c r="D219" s="12">
        <v>225</v>
      </c>
      <c r="E219" s="62" t="s">
        <v>22</v>
      </c>
      <c r="F219" s="12" t="s">
        <v>1</v>
      </c>
      <c r="G219" s="13">
        <v>199500</v>
      </c>
      <c r="H219" s="17">
        <f>E219*G219</f>
        <v>1596000</v>
      </c>
    </row>
    <row r="220" spans="1:8" ht="18">
      <c r="A220" s="276"/>
      <c r="B220" s="18" t="s">
        <v>39</v>
      </c>
      <c r="C220" s="18">
        <v>23</v>
      </c>
      <c r="D220" s="12">
        <v>225</v>
      </c>
      <c r="E220" s="60">
        <v>5</v>
      </c>
      <c r="F220" s="18" t="s">
        <v>1</v>
      </c>
      <c r="G220" s="19">
        <v>125580</v>
      </c>
      <c r="H220" s="17">
        <f t="shared" ref="H220:H222" si="20">E220*G220</f>
        <v>627900</v>
      </c>
    </row>
    <row r="221" spans="1:8" ht="18">
      <c r="A221" s="276"/>
      <c r="B221" s="18" t="s">
        <v>8</v>
      </c>
      <c r="C221" s="18">
        <v>0.45</v>
      </c>
      <c r="D221" s="18">
        <v>225</v>
      </c>
      <c r="E221" s="56" t="s">
        <v>26</v>
      </c>
      <c r="F221" s="18" t="s">
        <v>1</v>
      </c>
      <c r="G221" s="19">
        <v>36720</v>
      </c>
      <c r="H221" s="17">
        <f t="shared" si="20"/>
        <v>36720</v>
      </c>
    </row>
    <row r="222" spans="1:8" ht="18">
      <c r="A222" s="276"/>
      <c r="B222" s="18" t="s">
        <v>35</v>
      </c>
      <c r="C222" s="18">
        <v>55</v>
      </c>
      <c r="D222" s="18">
        <v>225</v>
      </c>
      <c r="E222" s="56" t="s">
        <v>41</v>
      </c>
      <c r="F222" s="18" t="s">
        <v>1</v>
      </c>
      <c r="G222" s="19">
        <v>42000</v>
      </c>
      <c r="H222" s="17">
        <f t="shared" si="20"/>
        <v>554400</v>
      </c>
    </row>
    <row r="223" spans="1:8" ht="27" customHeight="1">
      <c r="A223" s="276"/>
      <c r="B223" s="18" t="s">
        <v>40</v>
      </c>
      <c r="C223" s="18"/>
      <c r="D223" s="18">
        <v>225</v>
      </c>
      <c r="E223" s="56"/>
      <c r="F223" s="18"/>
      <c r="G223" s="19"/>
      <c r="H223" s="19">
        <v>15330</v>
      </c>
    </row>
    <row r="224" spans="1:8" ht="27" customHeight="1">
      <c r="A224" s="276"/>
      <c r="B224" s="18" t="s">
        <v>36</v>
      </c>
      <c r="C224" s="18"/>
      <c r="D224" s="18">
        <v>225</v>
      </c>
      <c r="E224" s="56"/>
      <c r="F224" s="18" t="s">
        <v>24</v>
      </c>
      <c r="G224" s="37">
        <v>1.37</v>
      </c>
      <c r="H224" s="19">
        <v>15330</v>
      </c>
    </row>
    <row r="225" spans="1:8" ht="27" customHeight="1">
      <c r="A225" s="276"/>
      <c r="B225" s="21" t="s">
        <v>25</v>
      </c>
      <c r="C225" s="21"/>
      <c r="D225" s="21"/>
      <c r="E225" s="58"/>
      <c r="F225" s="21"/>
      <c r="G225" s="40"/>
      <c r="H225" s="35">
        <v>136000</v>
      </c>
    </row>
    <row r="226" spans="1:8" ht="18">
      <c r="A226" s="277"/>
      <c r="B226" s="21"/>
      <c r="C226" s="38"/>
      <c r="D226" s="38"/>
      <c r="E226" s="64"/>
      <c r="F226" s="39"/>
      <c r="G226" s="38"/>
      <c r="H226" s="27">
        <f>SUM(H218:H225)</f>
        <v>3562855</v>
      </c>
    </row>
    <row r="227" spans="1:8" ht="18">
      <c r="A227" s="271" t="s">
        <v>29</v>
      </c>
      <c r="B227" s="271"/>
      <c r="C227" s="271" t="s">
        <v>30</v>
      </c>
      <c r="D227" s="271"/>
      <c r="E227" s="271"/>
      <c r="F227" s="1"/>
      <c r="G227" s="271" t="s">
        <v>31</v>
      </c>
      <c r="H227" s="271"/>
    </row>
    <row r="228" spans="1:8" ht="18">
      <c r="A228" s="1"/>
      <c r="B228" s="1"/>
      <c r="C228" s="1"/>
      <c r="D228" s="1"/>
      <c r="E228" s="65"/>
      <c r="F228" s="1"/>
      <c r="G228" s="1"/>
      <c r="H228" s="1"/>
    </row>
    <row r="229" spans="1:8" ht="18">
      <c r="A229" s="1"/>
      <c r="B229" s="1"/>
      <c r="C229" s="1"/>
      <c r="D229" s="1"/>
      <c r="E229" s="65"/>
      <c r="F229" s="1"/>
      <c r="G229" s="1"/>
      <c r="H229" s="1"/>
    </row>
    <row r="230" spans="1:8" ht="18">
      <c r="A230" s="1"/>
      <c r="B230" s="33"/>
      <c r="C230" s="273" t="s">
        <v>33</v>
      </c>
      <c r="D230" s="273"/>
      <c r="E230" s="273"/>
      <c r="F230" s="1"/>
      <c r="G230" s="273" t="s">
        <v>32</v>
      </c>
      <c r="H230" s="273"/>
    </row>
  </sheetData>
  <mergeCells count="56">
    <mergeCell ref="C230:E230"/>
    <mergeCell ref="G230:H230"/>
    <mergeCell ref="A216:H216"/>
    <mergeCell ref="A218:A226"/>
    <mergeCell ref="A227:B227"/>
    <mergeCell ref="C227:E227"/>
    <mergeCell ref="G227:H227"/>
    <mergeCell ref="A215:H215"/>
    <mergeCell ref="A163:H163"/>
    <mergeCell ref="A165:A172"/>
    <mergeCell ref="B172:G172"/>
    <mergeCell ref="A173:A182"/>
    <mergeCell ref="B182:G182"/>
    <mergeCell ref="A183:A190"/>
    <mergeCell ref="A191:A200"/>
    <mergeCell ref="A202:A207"/>
    <mergeCell ref="A209:B209"/>
    <mergeCell ref="C209:E209"/>
    <mergeCell ref="G209:H209"/>
    <mergeCell ref="A162:H162"/>
    <mergeCell ref="A111:H111"/>
    <mergeCell ref="A113:A120"/>
    <mergeCell ref="B120:G120"/>
    <mergeCell ref="A121:A128"/>
    <mergeCell ref="A137:A146"/>
    <mergeCell ref="A148:A155"/>
    <mergeCell ref="A157:B157"/>
    <mergeCell ref="C157:E157"/>
    <mergeCell ref="G157:H157"/>
    <mergeCell ref="B128:G128"/>
    <mergeCell ref="A129:A136"/>
    <mergeCell ref="A84:A93"/>
    <mergeCell ref="A95:A101"/>
    <mergeCell ref="A103:B103"/>
    <mergeCell ref="C103:E103"/>
    <mergeCell ref="G103:H103"/>
    <mergeCell ref="A110:H110"/>
    <mergeCell ref="A76:A83"/>
    <mergeCell ref="A29:A38"/>
    <mergeCell ref="A40:A47"/>
    <mergeCell ref="A49:B49"/>
    <mergeCell ref="C49:E49"/>
    <mergeCell ref="A56:H56"/>
    <mergeCell ref="A58:A65"/>
    <mergeCell ref="B65:G65"/>
    <mergeCell ref="A66:A75"/>
    <mergeCell ref="B75:G75"/>
    <mergeCell ref="G49:H49"/>
    <mergeCell ref="A55:H55"/>
    <mergeCell ref="A4:H4"/>
    <mergeCell ref="A6:A13"/>
    <mergeCell ref="B13:G13"/>
    <mergeCell ref="A14:A21"/>
    <mergeCell ref="B21:G21"/>
    <mergeCell ref="A22:A28"/>
    <mergeCell ref="A3:H3"/>
  </mergeCells>
  <pageMargins left="0.39370078740157483" right="0.31496062992125984" top="0.43307086614173229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 thuc pham T 04 2025 </vt:lpstr>
      <vt:lpstr>lưu cót tháng 11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cp:lastPrinted>2025-03-12T00:12:40Z</cp:lastPrinted>
  <dcterms:created xsi:type="dcterms:W3CDTF">2024-09-06T11:46:48Z</dcterms:created>
  <dcterms:modified xsi:type="dcterms:W3CDTF">2025-04-16T00:40:02Z</dcterms:modified>
</cp:coreProperties>
</file>